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45" windowHeight="4635" tabRatio="857"/>
  </bookViews>
  <sheets>
    <sheet name="NL1" sheetId="1" r:id="rId1"/>
    <sheet name="NL2" sheetId="7" r:id="rId2"/>
    <sheet name="NL3" sheetId="8" r:id="rId3"/>
    <sheet name="NL4" sheetId="9" r:id="rId4"/>
    <sheet name="NL5" sheetId="10" r:id="rId5"/>
    <sheet name="NL6" sheetId="11" r:id="rId6"/>
    <sheet name="NL7" sheetId="12" r:id="rId7"/>
    <sheet name="NL10" sheetId="13" r:id="rId8"/>
    <sheet name="NL12" sheetId="14" r:id="rId9"/>
    <sheet name="NL13" sheetId="15" r:id="rId10"/>
    <sheet name="NL14" sheetId="16" r:id="rId11"/>
    <sheet name="NL15" sheetId="17" r:id="rId12"/>
    <sheet name="NL17" sheetId="18" r:id="rId13"/>
    <sheet name="NL23" sheetId="2" r:id="rId14"/>
    <sheet name="NL25" sheetId="3" r:id="rId15"/>
    <sheet name="NL30" sheetId="4" r:id="rId16"/>
    <sheet name="NL33" sheetId="5" r:id="rId17"/>
    <sheet name="NL40" sheetId="6" r:id="rId18"/>
  </sheets>
  <calcPr calcId="152511"/>
</workbook>
</file>

<file path=xl/calcChain.xml><?xml version="1.0" encoding="utf-8"?>
<calcChain xmlns="http://schemas.openxmlformats.org/spreadsheetml/2006/main">
  <c r="AF7" i="8" l="1"/>
  <c r="J34" i="14"/>
  <c r="H7" i="17" l="1"/>
  <c r="CR36" i="14" l="1"/>
  <c r="CR19" i="14"/>
  <c r="CQ36" i="14"/>
  <c r="CQ19" i="14"/>
  <c r="BM17" i="11"/>
  <c r="BM16" i="11"/>
  <c r="BM25" i="11"/>
  <c r="BM24" i="11"/>
  <c r="BM22" i="11"/>
  <c r="BL25" i="11"/>
  <c r="BL24" i="11"/>
  <c r="BL22" i="11"/>
  <c r="BL17" i="11"/>
  <c r="BL16" i="11"/>
  <c r="BM19" i="9"/>
  <c r="BM18" i="9"/>
  <c r="BM17" i="9"/>
  <c r="BM15" i="9"/>
  <c r="BM28" i="9"/>
  <c r="BM27" i="9"/>
  <c r="BM26" i="9"/>
  <c r="BM24" i="9"/>
  <c r="BL28" i="9"/>
  <c r="BL27" i="9"/>
  <c r="BL26" i="9"/>
  <c r="BL24" i="9"/>
  <c r="BL19" i="9"/>
  <c r="BL18" i="9"/>
  <c r="BL17" i="9"/>
  <c r="BL15" i="9"/>
  <c r="BL23" i="10" l="1"/>
  <c r="BL20" i="10"/>
  <c r="BL18" i="10"/>
  <c r="BL34" i="10"/>
  <c r="BL33" i="10"/>
  <c r="BL31" i="10"/>
  <c r="BL29" i="10"/>
  <c r="BL28" i="10"/>
  <c r="BM34" i="10"/>
  <c r="BM33" i="10"/>
  <c r="BM31" i="10"/>
  <c r="BM30" i="10"/>
  <c r="BM29" i="10"/>
  <c r="BM28" i="10"/>
  <c r="BM23" i="10"/>
  <c r="BM20" i="10"/>
  <c r="BM19" i="10"/>
  <c r="BM18" i="10"/>
  <c r="AG7" i="8"/>
  <c r="BM24" i="7"/>
  <c r="BL24" i="7"/>
  <c r="AI6" i="1" l="1"/>
  <c r="H7" i="8"/>
  <c r="O24" i="7"/>
  <c r="N24" i="7"/>
  <c r="O6" i="1"/>
  <c r="N6" i="1"/>
  <c r="AE10" i="15" l="1"/>
  <c r="T13" i="18"/>
  <c r="T11" i="16"/>
  <c r="BD24" i="7" l="1"/>
  <c r="BE24" i="7"/>
  <c r="AC7" i="8"/>
  <c r="CF19" i="14" l="1"/>
  <c r="CE19" i="14"/>
  <c r="ET8" i="2" l="1"/>
  <c r="ES8" i="2"/>
  <c r="ER8" i="2"/>
  <c r="CL14" i="14"/>
  <c r="CK14" i="14"/>
  <c r="AE7" i="8" l="1"/>
  <c r="BI24" i="7"/>
  <c r="BH24" i="7"/>
  <c r="BI14" i="1"/>
  <c r="BI12" i="1"/>
  <c r="BI11" i="1"/>
  <c r="BI10" i="1"/>
  <c r="BI9" i="1"/>
  <c r="BI8" i="1"/>
  <c r="BI6" i="1"/>
  <c r="BI5" i="1"/>
  <c r="BH14" i="1"/>
  <c r="BH12" i="1"/>
  <c r="BH11" i="1"/>
  <c r="BH10" i="1"/>
  <c r="BH9" i="1"/>
  <c r="BH8" i="1"/>
  <c r="BH6" i="1"/>
  <c r="BH5" i="1"/>
  <c r="T7" i="8" l="1"/>
  <c r="BG24" i="7" l="1"/>
  <c r="BF24" i="7"/>
  <c r="BG14" i="1"/>
  <c r="BG12" i="1"/>
  <c r="BG11" i="1"/>
  <c r="BG10" i="1"/>
  <c r="BG9" i="1"/>
  <c r="BG8" i="1"/>
  <c r="BG6" i="1"/>
  <c r="BG5" i="1"/>
  <c r="BF14" i="1"/>
  <c r="BF12" i="1"/>
  <c r="BF11" i="1"/>
  <c r="BF10" i="1"/>
  <c r="BF9" i="1"/>
  <c r="BF8" i="1"/>
  <c r="BF6" i="1"/>
  <c r="BF5" i="1"/>
  <c r="Q7" i="8"/>
  <c r="AG24" i="7"/>
  <c r="AF24" i="7"/>
  <c r="AE14" i="1" l="1"/>
  <c r="AE12" i="1"/>
  <c r="AE11" i="1"/>
  <c r="AE10" i="1"/>
  <c r="AE9" i="1"/>
  <c r="AE8" i="1"/>
  <c r="AE6" i="1"/>
  <c r="AE5" i="1"/>
  <c r="AD14" i="1"/>
  <c r="AD12" i="1"/>
  <c r="AD11" i="1"/>
  <c r="AD10" i="1"/>
  <c r="AD9" i="1"/>
  <c r="AD8" i="1"/>
  <c r="AD6" i="1"/>
  <c r="AD5" i="1"/>
  <c r="P7" i="8"/>
  <c r="AE28" i="9"/>
  <c r="AE27" i="9"/>
  <c r="AE26" i="9"/>
  <c r="AE24" i="9"/>
  <c r="AD28" i="9"/>
  <c r="AD27" i="9"/>
  <c r="AD26" i="9"/>
  <c r="AD24" i="9"/>
  <c r="AE33" i="10"/>
  <c r="AE31" i="10"/>
  <c r="AE30" i="10"/>
  <c r="AE29" i="10"/>
  <c r="AE28" i="10"/>
  <c r="AE34" i="10"/>
  <c r="AD34" i="10"/>
  <c r="AD33" i="10"/>
  <c r="AD31" i="10"/>
  <c r="AD30" i="10"/>
  <c r="AD29" i="10"/>
  <c r="AD28" i="10"/>
  <c r="AE25" i="11"/>
  <c r="AE24" i="11"/>
  <c r="AE22" i="11"/>
  <c r="AD25" i="11"/>
  <c r="AD24" i="11"/>
  <c r="AD22" i="11"/>
  <c r="AA14" i="1"/>
  <c r="AA12" i="1"/>
  <c r="AA11" i="1"/>
  <c r="AA10" i="1"/>
  <c r="AA9" i="1"/>
  <c r="AA8" i="1"/>
  <c r="AA6" i="1"/>
  <c r="AA5" i="1"/>
  <c r="Z14" i="1"/>
  <c r="Z12" i="1"/>
  <c r="Z11" i="1"/>
  <c r="Z10" i="1"/>
  <c r="Z9" i="1"/>
  <c r="Z8" i="1"/>
  <c r="Z6" i="1"/>
  <c r="Z5" i="1"/>
  <c r="AA24" i="7"/>
  <c r="Z24" i="7"/>
  <c r="N7" i="8"/>
  <c r="J7" i="8"/>
  <c r="S24" i="7"/>
  <c r="R24" i="7"/>
  <c r="BC24" i="7" l="1"/>
  <c r="BB24" i="7"/>
  <c r="AB14" i="8"/>
  <c r="AB7" i="8"/>
  <c r="I7" i="8"/>
  <c r="AM36" i="14" l="1"/>
  <c r="AL36" i="14"/>
  <c r="AA36" i="14"/>
  <c r="AA19" i="14"/>
  <c r="Z36" i="14"/>
  <c r="Z19" i="14"/>
  <c r="O36" i="14" l="1"/>
  <c r="F7" i="8"/>
  <c r="AD7" i="13"/>
  <c r="P13" i="18"/>
  <c r="N13" i="18"/>
  <c r="J13" i="18"/>
  <c r="AB11" i="5"/>
  <c r="AB4" i="5"/>
  <c r="CC11" i="6"/>
  <c r="CB11" i="6"/>
  <c r="BZ11" i="6"/>
  <c r="L15" i="17" l="1"/>
  <c r="AQ25" i="11"/>
  <c r="AQ24" i="11"/>
  <c r="AQ22" i="11"/>
  <c r="AP25" i="11"/>
  <c r="AP24" i="11"/>
  <c r="AP22" i="11"/>
  <c r="AQ34" i="10"/>
  <c r="AQ33" i="10"/>
  <c r="AQ31" i="10"/>
  <c r="AQ30" i="10"/>
  <c r="AQ29" i="10"/>
  <c r="AQ28" i="10"/>
  <c r="AP34" i="10"/>
  <c r="AP33" i="10"/>
  <c r="AP31" i="10"/>
  <c r="AP29" i="10"/>
  <c r="AP28" i="10"/>
  <c r="AQ27" i="9"/>
  <c r="AQ26" i="9"/>
  <c r="AQ24" i="9"/>
  <c r="AQ28" i="9"/>
  <c r="AP27" i="9"/>
  <c r="AP26" i="9"/>
  <c r="AP24" i="9"/>
  <c r="AP28" i="9"/>
  <c r="BN36" i="14"/>
  <c r="BN19" i="14"/>
  <c r="BM36" i="14"/>
  <c r="BM19" i="14"/>
  <c r="BV14" i="14"/>
  <c r="BX14" i="3" l="1"/>
  <c r="BV14" i="3"/>
  <c r="W7" i="8" l="1"/>
  <c r="S7" i="8"/>
  <c r="Z7" i="8"/>
  <c r="Y7" i="8"/>
  <c r="X7" i="8"/>
  <c r="V7" i="8"/>
  <c r="O7" i="8"/>
  <c r="M7" i="8"/>
  <c r="AS24" i="7"/>
  <c r="AR24" i="7"/>
  <c r="AY24" i="7"/>
  <c r="AX24" i="7"/>
  <c r="AW20" i="7"/>
  <c r="AV20" i="7"/>
  <c r="AU24" i="7"/>
  <c r="AT24" i="7"/>
  <c r="AQ24" i="7"/>
  <c r="AP24" i="7"/>
  <c r="Y24" i="7"/>
  <c r="X24" i="7"/>
  <c r="AS11" i="1" l="1"/>
  <c r="AS12" i="1"/>
  <c r="AS10" i="1"/>
  <c r="AS9" i="1"/>
  <c r="AS8" i="1"/>
  <c r="AS6" i="1"/>
  <c r="AS5" i="1"/>
  <c r="AS14" i="1"/>
  <c r="AR14" i="1"/>
  <c r="AR12" i="1"/>
  <c r="AR11" i="1"/>
  <c r="AR10" i="1"/>
  <c r="AR9" i="1"/>
  <c r="AR8" i="1"/>
  <c r="AR6" i="1"/>
  <c r="AR5" i="1"/>
  <c r="AW14" i="1"/>
  <c r="AW12" i="1"/>
  <c r="AW11" i="1"/>
  <c r="AW10" i="1"/>
  <c r="AW9" i="1"/>
  <c r="AW8" i="1"/>
  <c r="AW6" i="1"/>
  <c r="AW5" i="1"/>
  <c r="AV14" i="1"/>
  <c r="AV12" i="1"/>
  <c r="AV11" i="1"/>
  <c r="AV10" i="1"/>
  <c r="AV9" i="1"/>
  <c r="AV8" i="1"/>
  <c r="AV6" i="1"/>
  <c r="AV5" i="1"/>
  <c r="W25" i="11" l="1"/>
  <c r="W24" i="11"/>
  <c r="W22" i="11"/>
  <c r="V25" i="11"/>
  <c r="V24" i="11"/>
  <c r="V22" i="11"/>
  <c r="W17" i="11"/>
  <c r="V17" i="11"/>
  <c r="W16" i="11"/>
  <c r="V16" i="11"/>
  <c r="W14" i="11"/>
  <c r="V14" i="11"/>
  <c r="W34" i="10"/>
  <c r="W33" i="10"/>
  <c r="W31" i="10"/>
  <c r="W30" i="10"/>
  <c r="W29" i="10"/>
  <c r="W28" i="10"/>
  <c r="V34" i="10"/>
  <c r="V33" i="10"/>
  <c r="V31" i="10"/>
  <c r="V30" i="10"/>
  <c r="V29" i="10"/>
  <c r="V28" i="10"/>
  <c r="W23" i="10"/>
  <c r="W22" i="10"/>
  <c r="W20" i="10"/>
  <c r="W19" i="10"/>
  <c r="W18" i="10"/>
  <c r="W17" i="10"/>
  <c r="V23" i="10"/>
  <c r="V22" i="10"/>
  <c r="V20" i="10"/>
  <c r="V19" i="10"/>
  <c r="V18" i="10"/>
  <c r="V17" i="10"/>
  <c r="W28" i="9"/>
  <c r="W27" i="9"/>
  <c r="V28" i="9"/>
  <c r="V27" i="9"/>
  <c r="W26" i="9"/>
  <c r="V26" i="9"/>
  <c r="W24" i="9"/>
  <c r="V24" i="9"/>
  <c r="V19" i="9"/>
  <c r="W19" i="9"/>
  <c r="W18" i="9"/>
  <c r="V18" i="9"/>
  <c r="W17" i="9"/>
  <c r="V17" i="9"/>
  <c r="W15" i="9"/>
  <c r="V15" i="9"/>
  <c r="L7" i="8" l="1"/>
  <c r="W24" i="7"/>
  <c r="V24" i="7"/>
  <c r="M14" i="1" l="1"/>
  <c r="M12" i="1"/>
  <c r="M11" i="1"/>
  <c r="M10" i="1"/>
  <c r="M9" i="1"/>
  <c r="M8" i="1"/>
  <c r="M6" i="1"/>
  <c r="M5" i="1"/>
  <c r="L14" i="1"/>
  <c r="L12" i="1"/>
  <c r="L11" i="1"/>
  <c r="L10" i="1"/>
  <c r="L9" i="1"/>
  <c r="L8" i="1"/>
  <c r="L6" i="1"/>
  <c r="L5" i="1"/>
  <c r="G7" i="8"/>
  <c r="Q14" i="14"/>
  <c r="Q19" i="14"/>
  <c r="Q17" i="14"/>
  <c r="R14" i="14"/>
  <c r="R19" i="14"/>
  <c r="R17" i="14"/>
  <c r="L31" i="14"/>
  <c r="E7" i="8"/>
  <c r="F18" i="14" l="1"/>
  <c r="E18" i="14"/>
  <c r="BO18" i="12" l="1"/>
  <c r="BN18" i="12"/>
  <c r="BO17" i="12"/>
  <c r="BN17" i="12"/>
  <c r="BO16" i="12"/>
  <c r="BN16" i="12"/>
  <c r="BO14" i="12"/>
  <c r="BN14" i="12"/>
  <c r="BO13" i="12"/>
  <c r="BN13" i="12"/>
  <c r="BO12" i="12"/>
  <c r="BN12" i="12"/>
  <c r="BO11" i="12"/>
  <c r="BN11" i="12"/>
  <c r="BO10" i="12"/>
  <c r="BN10" i="12"/>
  <c r="BO9" i="12"/>
  <c r="BN9" i="12"/>
  <c r="BO8" i="12"/>
  <c r="BN8" i="12"/>
  <c r="BO7" i="12"/>
  <c r="BN7" i="12"/>
  <c r="BO6" i="12"/>
  <c r="BN6" i="12"/>
  <c r="BO5" i="12"/>
  <c r="BN5" i="12"/>
  <c r="BO81" i="11"/>
  <c r="BN81" i="11"/>
  <c r="BO80" i="11"/>
  <c r="BN80" i="11"/>
  <c r="BO79" i="11"/>
  <c r="BN79" i="11"/>
  <c r="BO78" i="11"/>
  <c r="BN78" i="11"/>
  <c r="BO65" i="11"/>
  <c r="BN65" i="11"/>
  <c r="BO64" i="11"/>
  <c r="BN64" i="11"/>
  <c r="BO63" i="11"/>
  <c r="BN63" i="11"/>
  <c r="BO62" i="11"/>
  <c r="BN62" i="11"/>
  <c r="BO57" i="11"/>
  <c r="BN57" i="11"/>
  <c r="BO56" i="11"/>
  <c r="BN56" i="11"/>
  <c r="BO55" i="11"/>
  <c r="BN55" i="11"/>
  <c r="BO54" i="11"/>
  <c r="BN54" i="11"/>
  <c r="BO49" i="11"/>
  <c r="BN49" i="11"/>
  <c r="BO48" i="11"/>
  <c r="BN48" i="11"/>
  <c r="BO47" i="11"/>
  <c r="BN47" i="11"/>
  <c r="BO46" i="11"/>
  <c r="BN46" i="11"/>
  <c r="BO41" i="11"/>
  <c r="BN41" i="11"/>
  <c r="BO40" i="11"/>
  <c r="BN40" i="11"/>
  <c r="BO39" i="11"/>
  <c r="BN39" i="11"/>
  <c r="BO38" i="11"/>
  <c r="BN38" i="11"/>
  <c r="BO33" i="11"/>
  <c r="BN33" i="11"/>
  <c r="BO32" i="11"/>
  <c r="BN32" i="11"/>
  <c r="BO31" i="11"/>
  <c r="BN31" i="11"/>
  <c r="BO30" i="11"/>
  <c r="BN30" i="11"/>
  <c r="BO25" i="11"/>
  <c r="BN25" i="11"/>
  <c r="BO24" i="11"/>
  <c r="BN24" i="11"/>
  <c r="BO23" i="11"/>
  <c r="BN23" i="11"/>
  <c r="BO22" i="11"/>
  <c r="BN22" i="11"/>
  <c r="BO17" i="11"/>
  <c r="BN17" i="11"/>
  <c r="BO16" i="11"/>
  <c r="BN16" i="11"/>
  <c r="BO15" i="11"/>
  <c r="BN15" i="11"/>
  <c r="BO14" i="11"/>
  <c r="BN14" i="11"/>
  <c r="BO9" i="11"/>
  <c r="BN9" i="11"/>
  <c r="BO8" i="11"/>
  <c r="BN8" i="11"/>
  <c r="BO7" i="11"/>
  <c r="BN7" i="11"/>
  <c r="BO6" i="11"/>
  <c r="BN6" i="11"/>
  <c r="BO111" i="10"/>
  <c r="BN111" i="10"/>
  <c r="BO110" i="10"/>
  <c r="BN110" i="10"/>
  <c r="BO109" i="10"/>
  <c r="BN109" i="10"/>
  <c r="BO108" i="10"/>
  <c r="BN108" i="10"/>
  <c r="BO107" i="10"/>
  <c r="BN107" i="10"/>
  <c r="BO106" i="10"/>
  <c r="BN106" i="10"/>
  <c r="BO105" i="10"/>
  <c r="BN105" i="10"/>
  <c r="BO89" i="10"/>
  <c r="BN89" i="10"/>
  <c r="BO88" i="10"/>
  <c r="BN88" i="10"/>
  <c r="BO87" i="10"/>
  <c r="BN87" i="10"/>
  <c r="BO86" i="10"/>
  <c r="BN86" i="10"/>
  <c r="BO85" i="10"/>
  <c r="BN85" i="10"/>
  <c r="BO84" i="10"/>
  <c r="BN84" i="10"/>
  <c r="BO83" i="10"/>
  <c r="BN83" i="10"/>
  <c r="BO78" i="10"/>
  <c r="BN78" i="10"/>
  <c r="BO77" i="10"/>
  <c r="BN77" i="10"/>
  <c r="BO76" i="10"/>
  <c r="BN76" i="10"/>
  <c r="BO75" i="10"/>
  <c r="BN75" i="10"/>
  <c r="BO74" i="10"/>
  <c r="BN74" i="10"/>
  <c r="BO73" i="10"/>
  <c r="BN73" i="10"/>
  <c r="BO72" i="10"/>
  <c r="BN72" i="10"/>
  <c r="BO67" i="10"/>
  <c r="BN67" i="10"/>
  <c r="BO66" i="10"/>
  <c r="BN66" i="10"/>
  <c r="BO65" i="10"/>
  <c r="BN65" i="10"/>
  <c r="BO64" i="10"/>
  <c r="BN64" i="10"/>
  <c r="BO63" i="10"/>
  <c r="BN63" i="10"/>
  <c r="BO62" i="10"/>
  <c r="BN62" i="10"/>
  <c r="BO61" i="10"/>
  <c r="BN61" i="10"/>
  <c r="BO56" i="10"/>
  <c r="BN56" i="10"/>
  <c r="BO55" i="10"/>
  <c r="BN55" i="10"/>
  <c r="BO54" i="10"/>
  <c r="BN54" i="10"/>
  <c r="BO53" i="10"/>
  <c r="BN53" i="10"/>
  <c r="BO52" i="10"/>
  <c r="BN52" i="10"/>
  <c r="BO51" i="10"/>
  <c r="BN51" i="10"/>
  <c r="BO50" i="10"/>
  <c r="BN50" i="10"/>
  <c r="BO45" i="10"/>
  <c r="BN45" i="10"/>
  <c r="BO44" i="10"/>
  <c r="BN44" i="10"/>
  <c r="BO43" i="10"/>
  <c r="BN43" i="10"/>
  <c r="BO42" i="10"/>
  <c r="BN42" i="10"/>
  <c r="BO41" i="10"/>
  <c r="BN41" i="10"/>
  <c r="BO40" i="10"/>
  <c r="BN40" i="10"/>
  <c r="BO39" i="10"/>
  <c r="BN39" i="10"/>
  <c r="BO34" i="10"/>
  <c r="BN34" i="10"/>
  <c r="BO33" i="10"/>
  <c r="BN33" i="10"/>
  <c r="BO32" i="10"/>
  <c r="BN32" i="10"/>
  <c r="BO31" i="10"/>
  <c r="BN31" i="10"/>
  <c r="BO30" i="10"/>
  <c r="BN30" i="10"/>
  <c r="BO29" i="10"/>
  <c r="BN29" i="10"/>
  <c r="BO28" i="10"/>
  <c r="BN28" i="10"/>
  <c r="BO23" i="10"/>
  <c r="BN23" i="10"/>
  <c r="BO22" i="10"/>
  <c r="BN22" i="10"/>
  <c r="BO21" i="10"/>
  <c r="BN21" i="10"/>
  <c r="BO20" i="10"/>
  <c r="BN20" i="10"/>
  <c r="BO19" i="10"/>
  <c r="BN19" i="10"/>
  <c r="BO18" i="10"/>
  <c r="BN18" i="10"/>
  <c r="BO17" i="10"/>
  <c r="BN17" i="10"/>
  <c r="BO12" i="10"/>
  <c r="BN12" i="10"/>
  <c r="BO11" i="10"/>
  <c r="BN11" i="10"/>
  <c r="BO10" i="10"/>
  <c r="BN10" i="10"/>
  <c r="BO9" i="10"/>
  <c r="BN9" i="10"/>
  <c r="BO8" i="10"/>
  <c r="BN8" i="10"/>
  <c r="BO7" i="10"/>
  <c r="BN7" i="10"/>
  <c r="BO6" i="10"/>
  <c r="BN6" i="10"/>
  <c r="BO10" i="9"/>
  <c r="BN10" i="9"/>
  <c r="BO9" i="9"/>
  <c r="BN9" i="9"/>
  <c r="BO8" i="9"/>
  <c r="BN8" i="9"/>
  <c r="BO7" i="9"/>
  <c r="BN7" i="9"/>
  <c r="BO6" i="9"/>
  <c r="BN6" i="9"/>
  <c r="BO19" i="9"/>
  <c r="BN19" i="9"/>
  <c r="BO18" i="9"/>
  <c r="BN18" i="9"/>
  <c r="BO17" i="9"/>
  <c r="BN17" i="9"/>
  <c r="BO16" i="9"/>
  <c r="BN16" i="9"/>
  <c r="BO15" i="9"/>
  <c r="BN15" i="9"/>
  <c r="BO28" i="9"/>
  <c r="BN28" i="9"/>
  <c r="BO27" i="9"/>
  <c r="BN27" i="9"/>
  <c r="BO26" i="9"/>
  <c r="BN26" i="9"/>
  <c r="BO25" i="9"/>
  <c r="BN25" i="9"/>
  <c r="BO24" i="9"/>
  <c r="BN24" i="9"/>
  <c r="BO37" i="9"/>
  <c r="BN37" i="9"/>
  <c r="BO36" i="9"/>
  <c r="BN36" i="9"/>
  <c r="BO35" i="9"/>
  <c r="BN35" i="9"/>
  <c r="BO34" i="9"/>
  <c r="BN34" i="9"/>
  <c r="BO33" i="9"/>
  <c r="BN33" i="9"/>
  <c r="BO46" i="9"/>
  <c r="BN46" i="9"/>
  <c r="BO45" i="9"/>
  <c r="BN45" i="9"/>
  <c r="BO44" i="9"/>
  <c r="BN44" i="9"/>
  <c r="BO43" i="9"/>
  <c r="BN43" i="9"/>
  <c r="BO42" i="9"/>
  <c r="BN42" i="9"/>
  <c r="BO55" i="9"/>
  <c r="BN55" i="9"/>
  <c r="BO54" i="9"/>
  <c r="BN54" i="9"/>
  <c r="BO53" i="9"/>
  <c r="BN53" i="9"/>
  <c r="BO52" i="9"/>
  <c r="BN52" i="9"/>
  <c r="BO51" i="9"/>
  <c r="BN51" i="9"/>
  <c r="BO64" i="9"/>
  <c r="BN64" i="9"/>
  <c r="BO63" i="9"/>
  <c r="BN63" i="9"/>
  <c r="BO62" i="9"/>
  <c r="BN62" i="9"/>
  <c r="BO61" i="9"/>
  <c r="BN61" i="9"/>
  <c r="BO60" i="9"/>
  <c r="BN60" i="9"/>
  <c r="BO73" i="9"/>
  <c r="BN73" i="9"/>
  <c r="BO72" i="9"/>
  <c r="BN72" i="9"/>
  <c r="BO71" i="9"/>
  <c r="BN71" i="9"/>
  <c r="BO70" i="9"/>
  <c r="BN70" i="9"/>
  <c r="BO69" i="9"/>
  <c r="BN69" i="9"/>
  <c r="BO91" i="9"/>
  <c r="BN91" i="9"/>
  <c r="BO90" i="9"/>
  <c r="BN90" i="9"/>
  <c r="BO89" i="9"/>
  <c r="BN89" i="9"/>
  <c r="BO88" i="9"/>
  <c r="BN88" i="9"/>
  <c r="BO87" i="9"/>
  <c r="BN87" i="9"/>
  <c r="BO22" i="7"/>
  <c r="BN22" i="7"/>
  <c r="BO16" i="7"/>
  <c r="BN16" i="7"/>
  <c r="BO24" i="7"/>
  <c r="BN24" i="7"/>
  <c r="BO20" i="7"/>
  <c r="BN20" i="7"/>
  <c r="BO19" i="7"/>
  <c r="BN19" i="7"/>
  <c r="BO18" i="7"/>
  <c r="BN18" i="7"/>
  <c r="BO14" i="7"/>
  <c r="BN14" i="7"/>
  <c r="BO13" i="7"/>
  <c r="BN13" i="7"/>
  <c r="BO12" i="7"/>
  <c r="BN12" i="7"/>
  <c r="BO11" i="7"/>
  <c r="BN11" i="7"/>
  <c r="BO10" i="7"/>
  <c r="BN10" i="7"/>
  <c r="BO8" i="7"/>
  <c r="BN8" i="7"/>
  <c r="BO7" i="7"/>
  <c r="BN7" i="7"/>
  <c r="BO6" i="7"/>
  <c r="BN6" i="7"/>
  <c r="BO12" i="1"/>
  <c r="BN12" i="1"/>
  <c r="BO11" i="1"/>
  <c r="BN11" i="1"/>
  <c r="BO10" i="1"/>
  <c r="BN10" i="1"/>
  <c r="BO8" i="1"/>
  <c r="BN8" i="1"/>
  <c r="BO6" i="1"/>
  <c r="BN6" i="1"/>
  <c r="BO5" i="1"/>
  <c r="BN5" i="1"/>
  <c r="CM36" i="14" l="1"/>
  <c r="CM35" i="14"/>
  <c r="CM34" i="14"/>
  <c r="CM33" i="14"/>
  <c r="CM32" i="14"/>
  <c r="CM31" i="14"/>
  <c r="CM30" i="14"/>
  <c r="CM29" i="14"/>
  <c r="CM28" i="14"/>
  <c r="CM27" i="14"/>
  <c r="CM26" i="14"/>
  <c r="CM25" i="14"/>
  <c r="CM24" i="14"/>
  <c r="CM23" i="14"/>
  <c r="CM22" i="14"/>
  <c r="CM19" i="14"/>
  <c r="CM18" i="14"/>
  <c r="CM17" i="14"/>
  <c r="CM16" i="14"/>
  <c r="CM14" i="14"/>
  <c r="CM13" i="14"/>
  <c r="CM12" i="14"/>
  <c r="CM11" i="14"/>
  <c r="CM10" i="14"/>
  <c r="CM7" i="14"/>
  <c r="CM6" i="14"/>
  <c r="BF6" i="14"/>
  <c r="BF7" i="14"/>
  <c r="AT18" i="14"/>
  <c r="AT17" i="14"/>
  <c r="AT16" i="14"/>
  <c r="AT15" i="14"/>
  <c r="AT14" i="14"/>
  <c r="AT13" i="14"/>
  <c r="AT12" i="14"/>
  <c r="AT11" i="14"/>
  <c r="AT10" i="14"/>
  <c r="AT9" i="14"/>
  <c r="AT8" i="14"/>
  <c r="AT7" i="14"/>
  <c r="AT6" i="14"/>
  <c r="AE14" i="8" l="1"/>
  <c r="U7" i="1" l="1"/>
  <c r="H14" i="8"/>
  <c r="Q15" i="6"/>
  <c r="BX12" i="6" l="1"/>
  <c r="CE37" i="14" l="1"/>
  <c r="CF37" i="14"/>
  <c r="AH16" i="17" l="1"/>
  <c r="DE12" i="6" l="1"/>
  <c r="D32" i="15" l="1"/>
  <c r="AE54" i="15"/>
  <c r="CS36" i="14" l="1"/>
  <c r="CS35" i="14"/>
  <c r="CS34" i="14"/>
  <c r="CS29" i="14"/>
  <c r="CS28" i="14"/>
  <c r="CS22" i="14"/>
  <c r="CS19" i="14"/>
  <c r="CS18" i="14"/>
  <c r="CS13" i="14"/>
  <c r="CS10" i="14"/>
  <c r="CS6" i="14"/>
  <c r="CA34" i="14"/>
  <c r="CA13" i="14"/>
  <c r="CA10" i="14"/>
  <c r="CA7" i="14"/>
  <c r="CA6" i="14"/>
  <c r="Y34" i="14"/>
  <c r="BO35" i="14" l="1"/>
  <c r="BO29" i="14"/>
  <c r="BO28" i="14"/>
  <c r="BO27" i="14"/>
  <c r="BO22" i="14"/>
  <c r="BO18" i="14"/>
  <c r="BO16" i="14"/>
  <c r="BO14" i="14"/>
  <c r="BO13" i="14"/>
  <c r="BO11" i="14"/>
  <c r="BO10" i="14"/>
  <c r="BO7" i="14"/>
  <c r="BO6" i="14"/>
  <c r="CA35" i="14"/>
  <c r="CA29" i="14"/>
  <c r="CA28" i="14"/>
  <c r="CA23" i="14"/>
  <c r="CA22" i="14"/>
  <c r="CA19" i="14"/>
  <c r="CA18" i="14"/>
  <c r="AC7" i="1" l="1"/>
  <c r="AC13" i="1"/>
  <c r="AC15" i="1"/>
  <c r="ET15" i="2" l="1"/>
  <c r="ER15" i="2"/>
  <c r="ES15" i="2"/>
  <c r="BW14" i="3"/>
  <c r="BW13" i="3"/>
  <c r="AG14" i="8" l="1"/>
  <c r="AC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I14" i="8"/>
  <c r="G14" i="8"/>
  <c r="F14" i="8"/>
  <c r="C14" i="8"/>
  <c r="B14" i="8"/>
  <c r="E14" i="8"/>
  <c r="CW15" i="2" l="1"/>
  <c r="Q15" i="1" l="1"/>
  <c r="Q13" i="1"/>
  <c r="Q7" i="1"/>
  <c r="AS13" i="1" l="1"/>
  <c r="AS7" i="1" l="1"/>
  <c r="AS15" i="1"/>
  <c r="AH23" i="7" l="1"/>
  <c r="AH25" i="7" s="1"/>
  <c r="AH21" i="7"/>
  <c r="AH15" i="7"/>
  <c r="AI15" i="1" l="1"/>
  <c r="AI13" i="1"/>
  <c r="AI7" i="1"/>
  <c r="E12" i="6"/>
  <c r="AO13" i="1" l="1"/>
  <c r="AE15" i="1" l="1"/>
  <c r="AE13" i="1"/>
  <c r="K15" i="1"/>
  <c r="J15" i="1"/>
  <c r="I15" i="1"/>
  <c r="H15" i="1"/>
  <c r="G15" i="1"/>
  <c r="F15" i="1"/>
  <c r="E15" i="1"/>
  <c r="D15" i="1"/>
  <c r="C15" i="1"/>
  <c r="K13" i="1"/>
  <c r="J13" i="1"/>
  <c r="I13" i="1"/>
  <c r="H13" i="1"/>
  <c r="G13" i="1"/>
  <c r="F13" i="1"/>
  <c r="E13" i="1"/>
  <c r="D13" i="1"/>
  <c r="C13" i="1"/>
  <c r="K7" i="1"/>
  <c r="J7" i="1"/>
  <c r="I7" i="1"/>
  <c r="H7" i="1"/>
  <c r="G7" i="1"/>
  <c r="F7" i="1"/>
  <c r="E7" i="1"/>
  <c r="D7" i="1"/>
  <c r="C7" i="1"/>
  <c r="BK15" i="1"/>
  <c r="BI15" i="1"/>
  <c r="BH15" i="1"/>
  <c r="BK13" i="1"/>
  <c r="BI13" i="1"/>
  <c r="BH13" i="1"/>
  <c r="BK7" i="1"/>
  <c r="BI7" i="1"/>
  <c r="BH7" i="1"/>
  <c r="BE15" i="1"/>
  <c r="BE13" i="1"/>
  <c r="BE7" i="1"/>
  <c r="BC13" i="1"/>
  <c r="BA15" i="1"/>
  <c r="BA13" i="1"/>
  <c r="BA7" i="1"/>
  <c r="AU15" i="1"/>
  <c r="AU13" i="1"/>
  <c r="AU7" i="1"/>
  <c r="AG15" i="1"/>
  <c r="AG13" i="1"/>
  <c r="AG7" i="1"/>
  <c r="AA15" i="1"/>
  <c r="AA13" i="1"/>
  <c r="AA7" i="1"/>
  <c r="Y15" i="1"/>
  <c r="Y13" i="1"/>
  <c r="Y7" i="1"/>
  <c r="BC15" i="1" l="1"/>
  <c r="AE7" i="1"/>
  <c r="O15" i="1"/>
  <c r="O13" i="1"/>
  <c r="O7" i="1"/>
  <c r="BC7" i="1"/>
  <c r="CC20" i="14"/>
  <c r="AK15" i="1" l="1"/>
  <c r="Q14" i="18"/>
  <c r="AK13" i="1" l="1"/>
  <c r="AK7" i="1"/>
  <c r="U14" i="3"/>
  <c r="U13" i="3"/>
  <c r="U12" i="3"/>
  <c r="U11" i="3"/>
  <c r="U10" i="3"/>
  <c r="U9" i="3"/>
  <c r="U8" i="3"/>
  <c r="U7" i="3"/>
  <c r="U6" i="3"/>
  <c r="CR37" i="14"/>
  <c r="CQ37" i="14"/>
  <c r="CS33" i="14"/>
  <c r="CS32" i="14"/>
  <c r="CS31" i="14"/>
  <c r="CS30" i="14"/>
  <c r="CS27" i="14"/>
  <c r="CS26" i="14"/>
  <c r="CS25" i="14"/>
  <c r="CS24" i="14"/>
  <c r="CS23" i="14"/>
  <c r="CR20" i="14"/>
  <c r="CQ20" i="14"/>
  <c r="CS17" i="14"/>
  <c r="CS16" i="14"/>
  <c r="CS15" i="14"/>
  <c r="CS14" i="14"/>
  <c r="CS12" i="14"/>
  <c r="CS11" i="14"/>
  <c r="CS9" i="14"/>
  <c r="CS8" i="14"/>
  <c r="CS7" i="14"/>
  <c r="BM7" i="1"/>
  <c r="BM15" i="1"/>
  <c r="U82" i="9"/>
  <c r="U81" i="9"/>
  <c r="U80" i="9"/>
  <c r="U79" i="9"/>
  <c r="U78" i="9"/>
  <c r="U15" i="1"/>
  <c r="U13" i="1"/>
  <c r="CR38" i="14" l="1"/>
  <c r="CS37" i="14"/>
  <c r="CS20" i="14"/>
  <c r="CQ38" i="14"/>
  <c r="BM13" i="1"/>
  <c r="CS38" i="14" l="1"/>
  <c r="AW15" i="1" l="1"/>
  <c r="AW13" i="1"/>
  <c r="AW7" i="1"/>
  <c r="AQ7" i="1"/>
  <c r="V9" i="13"/>
  <c r="W15" i="1"/>
  <c r="W13" i="1"/>
  <c r="V7" i="1"/>
  <c r="S15" i="1"/>
  <c r="S13" i="1"/>
  <c r="S7" i="1"/>
  <c r="BW12" i="3"/>
  <c r="BW37" i="14"/>
  <c r="BV37" i="14"/>
  <c r="BX36" i="14"/>
  <c r="BX35" i="14"/>
  <c r="BX33" i="14"/>
  <c r="BX32" i="14"/>
  <c r="BX31" i="14"/>
  <c r="BX30" i="14"/>
  <c r="BX29" i="14"/>
  <c r="BX28" i="14"/>
  <c r="BX27" i="14"/>
  <c r="BX26" i="14"/>
  <c r="BX25" i="14"/>
  <c r="BX24" i="14"/>
  <c r="BX23" i="14"/>
  <c r="BX22" i="14"/>
  <c r="BW20" i="14"/>
  <c r="BV20" i="14"/>
  <c r="BX19" i="14"/>
  <c r="BX18" i="14"/>
  <c r="BX17" i="14"/>
  <c r="BX16" i="14"/>
  <c r="BX15" i="14"/>
  <c r="BX14" i="14"/>
  <c r="BX13" i="14"/>
  <c r="BX12" i="14"/>
  <c r="BX11" i="14"/>
  <c r="BX10" i="14"/>
  <c r="BX9" i="14"/>
  <c r="BX8" i="14"/>
  <c r="BX7" i="14"/>
  <c r="BX6" i="14"/>
  <c r="AY100" i="10"/>
  <c r="AX100" i="10"/>
  <c r="AY99" i="10"/>
  <c r="AX99" i="10"/>
  <c r="AY98" i="10"/>
  <c r="AX98" i="10"/>
  <c r="AY97" i="10"/>
  <c r="AX97" i="10"/>
  <c r="AY96" i="10"/>
  <c r="AX96" i="10"/>
  <c r="AY95" i="10"/>
  <c r="AX95" i="10"/>
  <c r="AY94" i="10"/>
  <c r="AX94" i="10"/>
  <c r="AY15" i="1"/>
  <c r="AY13" i="1"/>
  <c r="AY7" i="1"/>
  <c r="W7" i="1" l="1"/>
  <c r="BX20" i="14"/>
  <c r="BX37" i="14"/>
  <c r="AQ13" i="1"/>
  <c r="AQ15" i="1"/>
  <c r="BW38" i="14"/>
  <c r="BV38" i="14"/>
  <c r="DY15" i="6"/>
  <c r="DX15" i="6"/>
  <c r="DW15" i="6"/>
  <c r="DV15" i="6"/>
  <c r="DU15" i="6"/>
  <c r="DT15" i="6"/>
  <c r="DS15" i="6"/>
  <c r="DR15" i="6"/>
  <c r="DQ15" i="6"/>
  <c r="DP15" i="6"/>
  <c r="DO15" i="6"/>
  <c r="DN15" i="6"/>
  <c r="DM15" i="6"/>
  <c r="DL15" i="6"/>
  <c r="DK15" i="6"/>
  <c r="DJ15" i="6"/>
  <c r="DI15" i="6"/>
  <c r="DH15" i="6"/>
  <c r="DG15" i="6"/>
  <c r="DF15" i="6"/>
  <c r="DE15" i="6"/>
  <c r="DD15" i="6"/>
  <c r="DC15" i="6"/>
  <c r="DB15" i="6"/>
  <c r="DA15" i="6"/>
  <c r="CZ15" i="6"/>
  <c r="CY15" i="6"/>
  <c r="CX15" i="6"/>
  <c r="CW15" i="6"/>
  <c r="CV15" i="6"/>
  <c r="CU15" i="6"/>
  <c r="CT15" i="6"/>
  <c r="CS15" i="6"/>
  <c r="CR15" i="6"/>
  <c r="CQ15" i="6"/>
  <c r="CP15" i="6"/>
  <c r="CO15" i="6"/>
  <c r="CN15" i="6"/>
  <c r="CM15" i="6"/>
  <c r="CL15" i="6"/>
  <c r="CK15" i="6"/>
  <c r="CJ15" i="6"/>
  <c r="CI15" i="6"/>
  <c r="CH15" i="6"/>
  <c r="CG15" i="6"/>
  <c r="CF15" i="6"/>
  <c r="CE15" i="6"/>
  <c r="CD15" i="6"/>
  <c r="CC15" i="6"/>
  <c r="CB15" i="6"/>
  <c r="CA15" i="6"/>
  <c r="BZ15" i="6"/>
  <c r="BY15" i="6"/>
  <c r="BX15" i="6"/>
  <c r="BW15" i="6"/>
  <c r="BU15" i="6"/>
  <c r="BT15" i="6"/>
  <c r="BS15" i="6"/>
  <c r="BR15" i="6"/>
  <c r="BQ15" i="6"/>
  <c r="BP15" i="6"/>
  <c r="BO15" i="6"/>
  <c r="BN15" i="6"/>
  <c r="BM15" i="6"/>
  <c r="BL15" i="6"/>
  <c r="BK15" i="6"/>
  <c r="BJ15" i="6"/>
  <c r="BI15" i="6"/>
  <c r="BH15" i="6"/>
  <c r="BG15" i="6"/>
  <c r="BF15" i="6"/>
  <c r="BE15" i="6"/>
  <c r="BD15" i="6"/>
  <c r="BC15" i="6"/>
  <c r="BB15" i="6"/>
  <c r="BA15" i="6"/>
  <c r="AZ15" i="6"/>
  <c r="AY15" i="6"/>
  <c r="AX15" i="6"/>
  <c r="AW15" i="6"/>
  <c r="AV15" i="6"/>
  <c r="AU15" i="6"/>
  <c r="AT15" i="6"/>
  <c r="AS15" i="6"/>
  <c r="AR15" i="6"/>
  <c r="AQ15" i="6"/>
  <c r="AP15" i="6"/>
  <c r="AO15" i="6"/>
  <c r="AN15" i="6"/>
  <c r="AM15" i="6"/>
  <c r="AL15" i="6"/>
  <c r="AK15" i="6"/>
  <c r="AJ15" i="6"/>
  <c r="AI15" i="6"/>
  <c r="AH15" i="6"/>
  <c r="AG15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DY12" i="6"/>
  <c r="DX12" i="6"/>
  <c r="DW12" i="6"/>
  <c r="DV12" i="6"/>
  <c r="DU12" i="6"/>
  <c r="DT12" i="6"/>
  <c r="DS12" i="6"/>
  <c r="DR12" i="6"/>
  <c r="DQ12" i="6"/>
  <c r="DP12" i="6"/>
  <c r="DO12" i="6"/>
  <c r="DN12" i="6"/>
  <c r="DM12" i="6"/>
  <c r="DL12" i="6"/>
  <c r="DK12" i="6"/>
  <c r="DJ12" i="6"/>
  <c r="DI12" i="6"/>
  <c r="DH12" i="6"/>
  <c r="DG12" i="6"/>
  <c r="DF12" i="6"/>
  <c r="DD12" i="6"/>
  <c r="DC12" i="6"/>
  <c r="DB12" i="6"/>
  <c r="DA12" i="6"/>
  <c r="CZ12" i="6"/>
  <c r="CY12" i="6"/>
  <c r="CX12" i="6"/>
  <c r="CW12" i="6"/>
  <c r="CV12" i="6"/>
  <c r="CU12" i="6"/>
  <c r="CT12" i="6"/>
  <c r="CS12" i="6"/>
  <c r="CR12" i="6"/>
  <c r="CQ12" i="6"/>
  <c r="CP12" i="6"/>
  <c r="CO12" i="6"/>
  <c r="CN12" i="6"/>
  <c r="CM12" i="6"/>
  <c r="CL12" i="6"/>
  <c r="CK12" i="6"/>
  <c r="CJ12" i="6"/>
  <c r="CI12" i="6"/>
  <c r="CH12" i="6"/>
  <c r="CG12" i="6"/>
  <c r="CF12" i="6"/>
  <c r="CE12" i="6"/>
  <c r="CD12" i="6"/>
  <c r="CC12" i="6"/>
  <c r="CB12" i="6"/>
  <c r="CA12" i="6"/>
  <c r="BZ12" i="6"/>
  <c r="BY12" i="6"/>
  <c r="BW12" i="6"/>
  <c r="BU12" i="6"/>
  <c r="BT12" i="6"/>
  <c r="BS12" i="6"/>
  <c r="BR12" i="6"/>
  <c r="BQ12" i="6"/>
  <c r="BP12" i="6"/>
  <c r="BO12" i="6"/>
  <c r="BN12" i="6"/>
  <c r="BM12" i="6"/>
  <c r="BL12" i="6"/>
  <c r="BK12" i="6"/>
  <c r="BJ12" i="6"/>
  <c r="BI12" i="6"/>
  <c r="BH12" i="6"/>
  <c r="BG12" i="6"/>
  <c r="BF12" i="6"/>
  <c r="BE12" i="6"/>
  <c r="BD12" i="6"/>
  <c r="BC12" i="6"/>
  <c r="BB12" i="6"/>
  <c r="BA12" i="6"/>
  <c r="AZ12" i="6"/>
  <c r="AY12" i="6"/>
  <c r="AX12" i="6"/>
  <c r="AW12" i="6"/>
  <c r="AV12" i="6"/>
  <c r="AU12" i="6"/>
  <c r="AT12" i="6"/>
  <c r="AS12" i="6"/>
  <c r="AR12" i="6"/>
  <c r="AQ12" i="6"/>
  <c r="AP12" i="6"/>
  <c r="AO12" i="6"/>
  <c r="AN12" i="6"/>
  <c r="AM12" i="6"/>
  <c r="AL12" i="6"/>
  <c r="AK12" i="6"/>
  <c r="AJ12" i="6"/>
  <c r="AI12" i="6"/>
  <c r="AH12" i="6"/>
  <c r="AG12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D12" i="6"/>
  <c r="C12" i="6"/>
  <c r="BM15" i="12"/>
  <c r="BL15" i="12"/>
  <c r="BK15" i="12"/>
  <c r="BJ15" i="12"/>
  <c r="BI15" i="12"/>
  <c r="BH15" i="12"/>
  <c r="BG15" i="12"/>
  <c r="BF15" i="12"/>
  <c r="BE15" i="12"/>
  <c r="BD15" i="12"/>
  <c r="BC15" i="12"/>
  <c r="BB15" i="12"/>
  <c r="BA15" i="12"/>
  <c r="AZ15" i="12"/>
  <c r="AY15" i="12"/>
  <c r="AX15" i="12"/>
  <c r="AW15" i="12"/>
  <c r="AV15" i="12"/>
  <c r="AU15" i="12"/>
  <c r="AT15" i="12"/>
  <c r="AS15" i="12"/>
  <c r="AR15" i="12"/>
  <c r="AQ15" i="12"/>
  <c r="AP15" i="12"/>
  <c r="AO15" i="12"/>
  <c r="AN15" i="12"/>
  <c r="AM15" i="12"/>
  <c r="AL15" i="12"/>
  <c r="AK15" i="12"/>
  <c r="AJ15" i="12"/>
  <c r="AI15" i="12"/>
  <c r="AH15" i="12"/>
  <c r="BM73" i="11"/>
  <c r="BL73" i="11"/>
  <c r="BK73" i="11"/>
  <c r="BJ73" i="11"/>
  <c r="BI73" i="11"/>
  <c r="BH73" i="11"/>
  <c r="BG73" i="11"/>
  <c r="BF73" i="11"/>
  <c r="BE73" i="11"/>
  <c r="BD73" i="11"/>
  <c r="BC73" i="11"/>
  <c r="BB73" i="11"/>
  <c r="BA73" i="11"/>
  <c r="AZ73" i="11"/>
  <c r="AY73" i="11"/>
  <c r="AX73" i="11"/>
  <c r="AW73" i="11"/>
  <c r="AV73" i="11"/>
  <c r="AU73" i="11"/>
  <c r="AT73" i="11"/>
  <c r="AS73" i="11"/>
  <c r="AR73" i="11"/>
  <c r="AQ73" i="11"/>
  <c r="AP73" i="11"/>
  <c r="AO73" i="11"/>
  <c r="AN73" i="11"/>
  <c r="AM73" i="11"/>
  <c r="AL73" i="11"/>
  <c r="AK73" i="11"/>
  <c r="AJ73" i="11"/>
  <c r="AI73" i="11"/>
  <c r="AH73" i="11"/>
  <c r="BM72" i="11"/>
  <c r="BL72" i="11"/>
  <c r="BK72" i="11"/>
  <c r="BJ72" i="11"/>
  <c r="BI72" i="11"/>
  <c r="BH72" i="11"/>
  <c r="BG72" i="11"/>
  <c r="BF72" i="11"/>
  <c r="BE72" i="11"/>
  <c r="BD72" i="11"/>
  <c r="BC72" i="11"/>
  <c r="BB72" i="11"/>
  <c r="BA72" i="11"/>
  <c r="AZ72" i="11"/>
  <c r="AY72" i="11"/>
  <c r="AX72" i="11"/>
  <c r="AW72" i="11"/>
  <c r="AV72" i="11"/>
  <c r="AU72" i="11"/>
  <c r="AT72" i="11"/>
  <c r="AS72" i="11"/>
  <c r="AR72" i="11"/>
  <c r="AQ72" i="11"/>
  <c r="AP72" i="11"/>
  <c r="AO72" i="11"/>
  <c r="AN72" i="11"/>
  <c r="AM72" i="11"/>
  <c r="AL72" i="11"/>
  <c r="AK72" i="11"/>
  <c r="AJ72" i="11"/>
  <c r="AI72" i="11"/>
  <c r="AH72" i="11"/>
  <c r="BM71" i="11"/>
  <c r="BL71" i="11"/>
  <c r="BK71" i="11"/>
  <c r="BJ71" i="11"/>
  <c r="BI71" i="11"/>
  <c r="BH71" i="11"/>
  <c r="BG71" i="11"/>
  <c r="BF71" i="11"/>
  <c r="BE71" i="11"/>
  <c r="BD71" i="11"/>
  <c r="BC71" i="11"/>
  <c r="BB71" i="11"/>
  <c r="BA71" i="11"/>
  <c r="AZ71" i="11"/>
  <c r="AY71" i="11"/>
  <c r="AX71" i="11"/>
  <c r="AW71" i="11"/>
  <c r="AV71" i="11"/>
  <c r="AU71" i="11"/>
  <c r="AT71" i="11"/>
  <c r="AS71" i="11"/>
  <c r="AR71" i="11"/>
  <c r="AQ71" i="11"/>
  <c r="AP71" i="11"/>
  <c r="AO71" i="11"/>
  <c r="AN71" i="11"/>
  <c r="AM71" i="11"/>
  <c r="AL71" i="11"/>
  <c r="AK71" i="11"/>
  <c r="AJ71" i="11"/>
  <c r="AI71" i="11"/>
  <c r="AH71" i="11"/>
  <c r="BM70" i="11"/>
  <c r="BL70" i="11"/>
  <c r="BK70" i="11"/>
  <c r="BJ70" i="11"/>
  <c r="BI70" i="11"/>
  <c r="BH70" i="11"/>
  <c r="BG70" i="11"/>
  <c r="BF70" i="11"/>
  <c r="BE70" i="11"/>
  <c r="BD70" i="11"/>
  <c r="BC70" i="11"/>
  <c r="BB70" i="11"/>
  <c r="BA70" i="11"/>
  <c r="AZ70" i="11"/>
  <c r="AY70" i="11"/>
  <c r="AX70" i="11"/>
  <c r="AW70" i="11"/>
  <c r="AV70" i="11"/>
  <c r="AU70" i="11"/>
  <c r="AT70" i="11"/>
  <c r="AS70" i="11"/>
  <c r="AR70" i="11"/>
  <c r="AQ70" i="11"/>
  <c r="AP70" i="11"/>
  <c r="AO70" i="11"/>
  <c r="AN70" i="11"/>
  <c r="AM70" i="11"/>
  <c r="AL70" i="11"/>
  <c r="AK70" i="11"/>
  <c r="AJ70" i="11"/>
  <c r="AI70" i="11"/>
  <c r="AH70" i="11"/>
  <c r="BM100" i="10"/>
  <c r="BL100" i="10"/>
  <c r="BK100" i="10"/>
  <c r="BJ100" i="10"/>
  <c r="BI100" i="10"/>
  <c r="BH100" i="10"/>
  <c r="BG100" i="10"/>
  <c r="BF100" i="10"/>
  <c r="BE100" i="10"/>
  <c r="BD100" i="10"/>
  <c r="BC100" i="10"/>
  <c r="BB100" i="10"/>
  <c r="BA100" i="10"/>
  <c r="AZ100" i="10"/>
  <c r="AU100" i="10"/>
  <c r="AT100" i="10"/>
  <c r="AS100" i="10"/>
  <c r="AR100" i="10"/>
  <c r="AQ100" i="10"/>
  <c r="AP100" i="10"/>
  <c r="AO100" i="10"/>
  <c r="AN100" i="10"/>
  <c r="AM100" i="10"/>
  <c r="AL100" i="10"/>
  <c r="AK100" i="10"/>
  <c r="AJ100" i="10"/>
  <c r="AI100" i="10"/>
  <c r="AH100" i="10"/>
  <c r="BM99" i="10"/>
  <c r="BL99" i="10"/>
  <c r="BK99" i="10"/>
  <c r="BJ99" i="10"/>
  <c r="BI99" i="10"/>
  <c r="BH99" i="10"/>
  <c r="BG99" i="10"/>
  <c r="BF99" i="10"/>
  <c r="BE99" i="10"/>
  <c r="BD99" i="10"/>
  <c r="BC99" i="10"/>
  <c r="BB99" i="10"/>
  <c r="BA99" i="10"/>
  <c r="AZ99" i="10"/>
  <c r="AW99" i="10"/>
  <c r="AV99" i="10"/>
  <c r="AU99" i="10"/>
  <c r="AT99" i="10"/>
  <c r="AS99" i="10"/>
  <c r="AR99" i="10"/>
  <c r="AQ99" i="10"/>
  <c r="AP99" i="10"/>
  <c r="AO99" i="10"/>
  <c r="AN99" i="10"/>
  <c r="AM99" i="10"/>
  <c r="AL99" i="10"/>
  <c r="AK99" i="10"/>
  <c r="AJ99" i="10"/>
  <c r="AI99" i="10"/>
  <c r="AH99" i="10"/>
  <c r="BM98" i="10"/>
  <c r="BL98" i="10"/>
  <c r="BK98" i="10"/>
  <c r="BJ98" i="10"/>
  <c r="BI98" i="10"/>
  <c r="BH98" i="10"/>
  <c r="BG98" i="10"/>
  <c r="BF98" i="10"/>
  <c r="BE98" i="10"/>
  <c r="BD98" i="10"/>
  <c r="BC98" i="10"/>
  <c r="BB98" i="10"/>
  <c r="BA98" i="10"/>
  <c r="AZ98" i="10"/>
  <c r="AW98" i="10"/>
  <c r="AV98" i="10"/>
  <c r="AU98" i="10"/>
  <c r="AT98" i="10"/>
  <c r="AS98" i="10"/>
  <c r="AR98" i="10"/>
  <c r="AQ98" i="10"/>
  <c r="AP98" i="10"/>
  <c r="AO98" i="10"/>
  <c r="AN98" i="10"/>
  <c r="AM98" i="10"/>
  <c r="AL98" i="10"/>
  <c r="AK98" i="10"/>
  <c r="AJ98" i="10"/>
  <c r="AI98" i="10"/>
  <c r="AH98" i="10"/>
  <c r="BM97" i="10"/>
  <c r="BL97" i="10"/>
  <c r="BK97" i="10"/>
  <c r="BJ97" i="10"/>
  <c r="BI97" i="10"/>
  <c r="BH97" i="10"/>
  <c r="BG97" i="10"/>
  <c r="BF97" i="10"/>
  <c r="BE97" i="10"/>
  <c r="BD97" i="10"/>
  <c r="BC97" i="10"/>
  <c r="BB97" i="10"/>
  <c r="BA97" i="10"/>
  <c r="AZ97" i="10"/>
  <c r="AW97" i="10"/>
  <c r="AV97" i="10"/>
  <c r="AU97" i="10"/>
  <c r="AT97" i="10"/>
  <c r="AS97" i="10"/>
  <c r="AR97" i="10"/>
  <c r="AQ97" i="10"/>
  <c r="AP97" i="10"/>
  <c r="AO97" i="10"/>
  <c r="AN97" i="10"/>
  <c r="AM97" i="10"/>
  <c r="AL97" i="10"/>
  <c r="AK97" i="10"/>
  <c r="AJ97" i="10"/>
  <c r="AI97" i="10"/>
  <c r="AH97" i="10"/>
  <c r="BM96" i="10"/>
  <c r="BL96" i="10"/>
  <c r="BK96" i="10"/>
  <c r="BJ96" i="10"/>
  <c r="BI96" i="10"/>
  <c r="BH96" i="10"/>
  <c r="BG96" i="10"/>
  <c r="BF96" i="10"/>
  <c r="BE96" i="10"/>
  <c r="BD96" i="10"/>
  <c r="BC96" i="10"/>
  <c r="BB96" i="10"/>
  <c r="BA96" i="10"/>
  <c r="AZ96" i="10"/>
  <c r="AW96" i="10"/>
  <c r="AV96" i="10"/>
  <c r="AU96" i="10"/>
  <c r="AT96" i="10"/>
  <c r="AS96" i="10"/>
  <c r="AR96" i="10"/>
  <c r="AQ96" i="10"/>
  <c r="AP96" i="10"/>
  <c r="AO96" i="10"/>
  <c r="AN96" i="10"/>
  <c r="AM96" i="10"/>
  <c r="AL96" i="10"/>
  <c r="AK96" i="10"/>
  <c r="AJ96" i="10"/>
  <c r="AI96" i="10"/>
  <c r="AH96" i="10"/>
  <c r="BM95" i="10"/>
  <c r="BL95" i="10"/>
  <c r="BK95" i="10"/>
  <c r="BJ95" i="10"/>
  <c r="BI95" i="10"/>
  <c r="BH95" i="10"/>
  <c r="BG95" i="10"/>
  <c r="BF95" i="10"/>
  <c r="BE95" i="10"/>
  <c r="BD95" i="10"/>
  <c r="BC95" i="10"/>
  <c r="BB95" i="10"/>
  <c r="BA95" i="10"/>
  <c r="AZ95" i="10"/>
  <c r="AW95" i="10"/>
  <c r="AV95" i="10"/>
  <c r="AU95" i="10"/>
  <c r="AT95" i="10"/>
  <c r="AS95" i="10"/>
  <c r="AR95" i="10"/>
  <c r="AQ95" i="10"/>
  <c r="AP95" i="10"/>
  <c r="AO95" i="10"/>
  <c r="AN95" i="10"/>
  <c r="AM95" i="10"/>
  <c r="AL95" i="10"/>
  <c r="AK95" i="10"/>
  <c r="AJ95" i="10"/>
  <c r="AI95" i="10"/>
  <c r="AH95" i="10"/>
  <c r="BM94" i="10"/>
  <c r="BL94" i="10"/>
  <c r="BK94" i="10"/>
  <c r="BJ94" i="10"/>
  <c r="BI94" i="10"/>
  <c r="BH94" i="10"/>
  <c r="BG94" i="10"/>
  <c r="BF94" i="10"/>
  <c r="BE94" i="10"/>
  <c r="BD94" i="10"/>
  <c r="BC94" i="10"/>
  <c r="BB94" i="10"/>
  <c r="BA94" i="10"/>
  <c r="AZ94" i="10"/>
  <c r="AW94" i="10"/>
  <c r="AV94" i="10"/>
  <c r="AU94" i="10"/>
  <c r="AT94" i="10"/>
  <c r="AS94" i="10"/>
  <c r="AR94" i="10"/>
  <c r="AQ94" i="10"/>
  <c r="AP94" i="10"/>
  <c r="AO94" i="10"/>
  <c r="AN94" i="10"/>
  <c r="AM94" i="10"/>
  <c r="AL94" i="10"/>
  <c r="AK94" i="10"/>
  <c r="AJ94" i="10"/>
  <c r="AI94" i="10"/>
  <c r="AH94" i="10"/>
  <c r="AH82" i="9"/>
  <c r="AH81" i="9"/>
  <c r="AH80" i="9"/>
  <c r="AH79" i="9"/>
  <c r="AH78" i="9"/>
  <c r="BM82" i="9"/>
  <c r="BL82" i="9"/>
  <c r="BK82" i="9"/>
  <c r="BJ82" i="9"/>
  <c r="BI82" i="9"/>
  <c r="BH82" i="9"/>
  <c r="BG82" i="9"/>
  <c r="BF82" i="9"/>
  <c r="BE82" i="9"/>
  <c r="BD82" i="9"/>
  <c r="BC82" i="9"/>
  <c r="BB82" i="9"/>
  <c r="BA82" i="9"/>
  <c r="AZ82" i="9"/>
  <c r="AY82" i="9"/>
  <c r="AX82" i="9"/>
  <c r="AW82" i="9"/>
  <c r="AV82" i="9"/>
  <c r="AU82" i="9"/>
  <c r="AT82" i="9"/>
  <c r="AS82" i="9"/>
  <c r="AR82" i="9"/>
  <c r="AQ82" i="9"/>
  <c r="AP82" i="9"/>
  <c r="AO82" i="9"/>
  <c r="AN82" i="9"/>
  <c r="AM82" i="9"/>
  <c r="AL82" i="9"/>
  <c r="AK82" i="9"/>
  <c r="AJ82" i="9"/>
  <c r="AI82" i="9"/>
  <c r="BM81" i="9"/>
  <c r="BL81" i="9"/>
  <c r="BK81" i="9"/>
  <c r="BJ81" i="9"/>
  <c r="BI81" i="9"/>
  <c r="BH81" i="9"/>
  <c r="BG81" i="9"/>
  <c r="BF81" i="9"/>
  <c r="BE81" i="9"/>
  <c r="BD81" i="9"/>
  <c r="BC81" i="9"/>
  <c r="BB81" i="9"/>
  <c r="BA81" i="9"/>
  <c r="AZ81" i="9"/>
  <c r="AY81" i="9"/>
  <c r="AX81" i="9"/>
  <c r="AW81" i="9"/>
  <c r="AV81" i="9"/>
  <c r="AU81" i="9"/>
  <c r="AT81" i="9"/>
  <c r="AS81" i="9"/>
  <c r="AR81" i="9"/>
  <c r="AQ81" i="9"/>
  <c r="AP81" i="9"/>
  <c r="AO81" i="9"/>
  <c r="AN81" i="9"/>
  <c r="AM81" i="9"/>
  <c r="AL81" i="9"/>
  <c r="AK81" i="9"/>
  <c r="AJ81" i="9"/>
  <c r="AI81" i="9"/>
  <c r="BM80" i="9"/>
  <c r="BL80" i="9"/>
  <c r="BK80" i="9"/>
  <c r="BJ80" i="9"/>
  <c r="BI80" i="9"/>
  <c r="BH80" i="9"/>
  <c r="BG80" i="9"/>
  <c r="BF80" i="9"/>
  <c r="BE80" i="9"/>
  <c r="BD80" i="9"/>
  <c r="BC80" i="9"/>
  <c r="BB80" i="9"/>
  <c r="BA80" i="9"/>
  <c r="AZ80" i="9"/>
  <c r="AY80" i="9"/>
  <c r="AX80" i="9"/>
  <c r="AW80" i="9"/>
  <c r="AV80" i="9"/>
  <c r="AU80" i="9"/>
  <c r="AT80" i="9"/>
  <c r="AS80" i="9"/>
  <c r="AR80" i="9"/>
  <c r="AQ80" i="9"/>
  <c r="AP80" i="9"/>
  <c r="AO80" i="9"/>
  <c r="AN80" i="9"/>
  <c r="AM80" i="9"/>
  <c r="AL80" i="9"/>
  <c r="AK80" i="9"/>
  <c r="AJ80" i="9"/>
  <c r="AI80" i="9"/>
  <c r="BM79" i="9"/>
  <c r="BL79" i="9"/>
  <c r="BK79" i="9"/>
  <c r="BJ79" i="9"/>
  <c r="BI79" i="9"/>
  <c r="BH79" i="9"/>
  <c r="BG79" i="9"/>
  <c r="BF79" i="9"/>
  <c r="BE79" i="9"/>
  <c r="BD79" i="9"/>
  <c r="BC79" i="9"/>
  <c r="BB79" i="9"/>
  <c r="BA79" i="9"/>
  <c r="AZ79" i="9"/>
  <c r="AY79" i="9"/>
  <c r="AX79" i="9"/>
  <c r="AW79" i="9"/>
  <c r="AV79" i="9"/>
  <c r="AU79" i="9"/>
  <c r="AT79" i="9"/>
  <c r="AS79" i="9"/>
  <c r="AR79" i="9"/>
  <c r="AQ79" i="9"/>
  <c r="AP79" i="9"/>
  <c r="AO79" i="9"/>
  <c r="AN79" i="9"/>
  <c r="AM79" i="9"/>
  <c r="AL79" i="9"/>
  <c r="AK79" i="9"/>
  <c r="AJ79" i="9"/>
  <c r="AI79" i="9"/>
  <c r="BM78" i="9"/>
  <c r="BL78" i="9"/>
  <c r="BK78" i="9"/>
  <c r="BJ78" i="9"/>
  <c r="BI78" i="9"/>
  <c r="BH78" i="9"/>
  <c r="BG78" i="9"/>
  <c r="BF78" i="9"/>
  <c r="BE78" i="9"/>
  <c r="BD78" i="9"/>
  <c r="BC78" i="9"/>
  <c r="BB78" i="9"/>
  <c r="BA78" i="9"/>
  <c r="AZ78" i="9"/>
  <c r="AY78" i="9"/>
  <c r="AX78" i="9"/>
  <c r="AW78" i="9"/>
  <c r="AV78" i="9"/>
  <c r="AU78" i="9"/>
  <c r="AT78" i="9"/>
  <c r="AS78" i="9"/>
  <c r="AR78" i="9"/>
  <c r="AQ78" i="9"/>
  <c r="AP78" i="9"/>
  <c r="AO78" i="9"/>
  <c r="AN78" i="9"/>
  <c r="AM78" i="9"/>
  <c r="AL78" i="9"/>
  <c r="AK78" i="9"/>
  <c r="AJ78" i="9"/>
  <c r="AI78" i="9"/>
  <c r="BM23" i="7"/>
  <c r="BM25" i="7" s="1"/>
  <c r="BL23" i="7"/>
  <c r="BL25" i="7" s="1"/>
  <c r="BK23" i="7"/>
  <c r="BK25" i="7" s="1"/>
  <c r="BJ23" i="7"/>
  <c r="BJ25" i="7" s="1"/>
  <c r="BI23" i="7"/>
  <c r="BI25" i="7" s="1"/>
  <c r="BH23" i="7"/>
  <c r="BH25" i="7" s="1"/>
  <c r="BG23" i="7"/>
  <c r="BG25" i="7" s="1"/>
  <c r="BF23" i="7"/>
  <c r="BF25" i="7" s="1"/>
  <c r="BE23" i="7"/>
  <c r="BE25" i="7" s="1"/>
  <c r="BD23" i="7"/>
  <c r="BD25" i="7" s="1"/>
  <c r="BC23" i="7"/>
  <c r="BC25" i="7" s="1"/>
  <c r="BB23" i="7"/>
  <c r="BB25" i="7" s="1"/>
  <c r="BA23" i="7"/>
  <c r="BA25" i="7" s="1"/>
  <c r="AZ23" i="7"/>
  <c r="AZ25" i="7" s="1"/>
  <c r="AY23" i="7"/>
  <c r="AY25" i="7" s="1"/>
  <c r="AX23" i="7"/>
  <c r="AX25" i="7" s="1"/>
  <c r="AW23" i="7"/>
  <c r="AW25" i="7" s="1"/>
  <c r="AV23" i="7"/>
  <c r="AV25" i="7" s="1"/>
  <c r="AU23" i="7"/>
  <c r="AU25" i="7" s="1"/>
  <c r="AT23" i="7"/>
  <c r="AT25" i="7" s="1"/>
  <c r="AS23" i="7"/>
  <c r="AS25" i="7" s="1"/>
  <c r="AR23" i="7"/>
  <c r="AR25" i="7" s="1"/>
  <c r="AQ23" i="7"/>
  <c r="AQ25" i="7" s="1"/>
  <c r="AP23" i="7"/>
  <c r="AP25" i="7" s="1"/>
  <c r="AO23" i="7"/>
  <c r="AO25" i="7" s="1"/>
  <c r="AN23" i="7"/>
  <c r="AN25" i="7" s="1"/>
  <c r="AK23" i="7"/>
  <c r="AK25" i="7" s="1"/>
  <c r="AJ23" i="7"/>
  <c r="AJ25" i="7" s="1"/>
  <c r="AI23" i="7"/>
  <c r="AI25" i="7" s="1"/>
  <c r="BM21" i="7"/>
  <c r="BL21" i="7"/>
  <c r="BK21" i="7"/>
  <c r="BJ21" i="7"/>
  <c r="BI21" i="7"/>
  <c r="BH21" i="7"/>
  <c r="BG21" i="7"/>
  <c r="BF21" i="7"/>
  <c r="BE21" i="7"/>
  <c r="BD21" i="7"/>
  <c r="BC21" i="7"/>
  <c r="BB21" i="7"/>
  <c r="BA21" i="7"/>
  <c r="AZ21" i="7"/>
  <c r="AY21" i="7"/>
  <c r="AX21" i="7"/>
  <c r="AW21" i="7"/>
  <c r="AV21" i="7"/>
  <c r="AU21" i="7"/>
  <c r="AT21" i="7"/>
  <c r="AS21" i="7"/>
  <c r="AR21" i="7"/>
  <c r="AQ21" i="7"/>
  <c r="AP21" i="7"/>
  <c r="AO21" i="7"/>
  <c r="AN21" i="7"/>
  <c r="AK21" i="7"/>
  <c r="AJ21" i="7"/>
  <c r="AI21" i="7"/>
  <c r="BM15" i="7"/>
  <c r="BL15" i="7"/>
  <c r="BK15" i="7"/>
  <c r="BJ15" i="7"/>
  <c r="BI15" i="7"/>
  <c r="BH15" i="7"/>
  <c r="BG15" i="7"/>
  <c r="BF15" i="7"/>
  <c r="BE15" i="7"/>
  <c r="BD15" i="7"/>
  <c r="BC15" i="7"/>
  <c r="BB15" i="7"/>
  <c r="BA15" i="7"/>
  <c r="AZ15" i="7"/>
  <c r="AY15" i="7"/>
  <c r="AX15" i="7"/>
  <c r="AW15" i="7"/>
  <c r="AV15" i="7"/>
  <c r="AU15" i="7"/>
  <c r="AT15" i="7"/>
  <c r="AS15" i="7"/>
  <c r="AR15" i="7"/>
  <c r="AQ15" i="7"/>
  <c r="AP15" i="7"/>
  <c r="AO15" i="7"/>
  <c r="AN15" i="7"/>
  <c r="AK15" i="7"/>
  <c r="AJ15" i="7"/>
  <c r="AI15" i="7"/>
  <c r="BG15" i="1"/>
  <c r="BG13" i="1"/>
  <c r="BG7" i="1"/>
  <c r="M15" i="1"/>
  <c r="M13" i="1"/>
  <c r="M7" i="1"/>
  <c r="BX38" i="14" l="1"/>
  <c r="AG72" i="11"/>
  <c r="AF72" i="11"/>
  <c r="AE72" i="11"/>
  <c r="AD72" i="11"/>
  <c r="AC72" i="11"/>
  <c r="AB72" i="11"/>
  <c r="AA72" i="11"/>
  <c r="Z72" i="11"/>
  <c r="Y72" i="11"/>
  <c r="X72" i="11"/>
  <c r="W72" i="11"/>
  <c r="V72" i="11"/>
  <c r="U72" i="11"/>
  <c r="T72" i="11"/>
  <c r="S72" i="11"/>
  <c r="R72" i="11"/>
  <c r="Q72" i="11"/>
  <c r="P72" i="11"/>
  <c r="O72" i="11"/>
  <c r="N72" i="11"/>
  <c r="M72" i="11"/>
  <c r="L72" i="11"/>
  <c r="K72" i="11"/>
  <c r="J72" i="11"/>
  <c r="I72" i="11"/>
  <c r="H72" i="11"/>
  <c r="G72" i="11"/>
  <c r="F72" i="11"/>
  <c r="E72" i="11"/>
  <c r="D72" i="11"/>
  <c r="C72" i="11"/>
  <c r="B72" i="11"/>
  <c r="AG71" i="11"/>
  <c r="AF71" i="11"/>
  <c r="AE71" i="11"/>
  <c r="AD71" i="11"/>
  <c r="AC71" i="11"/>
  <c r="AB71" i="11"/>
  <c r="AA71" i="11"/>
  <c r="Z71" i="11"/>
  <c r="Y71" i="11"/>
  <c r="X71" i="11"/>
  <c r="W71" i="11"/>
  <c r="V71" i="11"/>
  <c r="U71" i="11"/>
  <c r="T71" i="11"/>
  <c r="S71" i="11"/>
  <c r="R71" i="11"/>
  <c r="Q71" i="11"/>
  <c r="P71" i="11"/>
  <c r="O71" i="11"/>
  <c r="N71" i="11"/>
  <c r="M71" i="11"/>
  <c r="L71" i="11"/>
  <c r="K71" i="11"/>
  <c r="J71" i="11"/>
  <c r="I71" i="11"/>
  <c r="H71" i="11"/>
  <c r="G71" i="11"/>
  <c r="F71" i="11"/>
  <c r="E71" i="11"/>
  <c r="D71" i="11"/>
  <c r="C71" i="11"/>
  <c r="B71" i="11"/>
  <c r="AG99" i="10"/>
  <c r="AF99" i="10"/>
  <c r="AE99" i="10"/>
  <c r="AD99" i="10"/>
  <c r="AC99" i="10"/>
  <c r="AB99" i="10"/>
  <c r="AA99" i="10"/>
  <c r="Z99" i="10"/>
  <c r="Y99" i="10"/>
  <c r="X99" i="10"/>
  <c r="W99" i="10"/>
  <c r="V99" i="10"/>
  <c r="U99" i="10"/>
  <c r="T99" i="10"/>
  <c r="S99" i="10"/>
  <c r="R99" i="10"/>
  <c r="Q99" i="10"/>
  <c r="P99" i="10"/>
  <c r="O99" i="10"/>
  <c r="N99" i="10"/>
  <c r="M99" i="10"/>
  <c r="L99" i="10"/>
  <c r="K99" i="10"/>
  <c r="J99" i="10"/>
  <c r="I99" i="10"/>
  <c r="H99" i="10"/>
  <c r="G99" i="10"/>
  <c r="F99" i="10"/>
  <c r="E99" i="10"/>
  <c r="D99" i="10"/>
  <c r="C99" i="10"/>
  <c r="B99" i="10"/>
  <c r="AG98" i="10"/>
  <c r="AF98" i="10"/>
  <c r="AE98" i="10"/>
  <c r="AD98" i="10"/>
  <c r="AC98" i="10"/>
  <c r="AB98" i="10"/>
  <c r="AA98" i="10"/>
  <c r="Z98" i="10"/>
  <c r="Y98" i="10"/>
  <c r="X98" i="10"/>
  <c r="W98" i="10"/>
  <c r="V98" i="10"/>
  <c r="U98" i="10"/>
  <c r="T98" i="10"/>
  <c r="S98" i="10"/>
  <c r="R98" i="10"/>
  <c r="Q98" i="10"/>
  <c r="P98" i="10"/>
  <c r="O98" i="10"/>
  <c r="N98" i="10"/>
  <c r="M98" i="10"/>
  <c r="L98" i="10"/>
  <c r="K98" i="10"/>
  <c r="J98" i="10"/>
  <c r="I98" i="10"/>
  <c r="H98" i="10"/>
  <c r="G98" i="10"/>
  <c r="F98" i="10"/>
  <c r="E98" i="10"/>
  <c r="D98" i="10"/>
  <c r="C98" i="10"/>
  <c r="B98" i="10"/>
  <c r="AG97" i="10"/>
  <c r="AF97" i="10"/>
  <c r="AE97" i="10"/>
  <c r="AD97" i="10"/>
  <c r="AC97" i="10"/>
  <c r="AB97" i="10"/>
  <c r="AA97" i="10"/>
  <c r="Z97" i="10"/>
  <c r="Y97" i="10"/>
  <c r="X97" i="10"/>
  <c r="W97" i="10"/>
  <c r="V97" i="10"/>
  <c r="U97" i="10"/>
  <c r="T97" i="10"/>
  <c r="S97" i="10"/>
  <c r="R97" i="10"/>
  <c r="Q97" i="10"/>
  <c r="P97" i="10"/>
  <c r="O97" i="10"/>
  <c r="N97" i="10"/>
  <c r="M97" i="10"/>
  <c r="L97" i="10"/>
  <c r="K97" i="10"/>
  <c r="J97" i="10"/>
  <c r="I97" i="10"/>
  <c r="H97" i="10"/>
  <c r="G97" i="10"/>
  <c r="F97" i="10"/>
  <c r="E97" i="10"/>
  <c r="D97" i="10"/>
  <c r="C97" i="10"/>
  <c r="B97" i="10"/>
  <c r="AG96" i="10"/>
  <c r="AF96" i="10"/>
  <c r="AE96" i="10"/>
  <c r="AD96" i="10"/>
  <c r="AC96" i="10"/>
  <c r="AB96" i="10"/>
  <c r="AA96" i="10"/>
  <c r="Z96" i="10"/>
  <c r="Y96" i="10"/>
  <c r="X96" i="10"/>
  <c r="W96" i="10"/>
  <c r="V96" i="10"/>
  <c r="U96" i="10"/>
  <c r="T96" i="10"/>
  <c r="S96" i="10"/>
  <c r="R96" i="10"/>
  <c r="Q96" i="10"/>
  <c r="P96" i="10"/>
  <c r="O96" i="10"/>
  <c r="N96" i="10"/>
  <c r="M96" i="10"/>
  <c r="L96" i="10"/>
  <c r="K96" i="10"/>
  <c r="J96" i="10"/>
  <c r="I96" i="10"/>
  <c r="H96" i="10"/>
  <c r="G96" i="10"/>
  <c r="F96" i="10"/>
  <c r="E96" i="10"/>
  <c r="D96" i="10"/>
  <c r="C96" i="10"/>
  <c r="B96" i="10"/>
  <c r="AG95" i="10"/>
  <c r="AF95" i="10"/>
  <c r="AE95" i="10"/>
  <c r="AD95" i="10"/>
  <c r="AC95" i="10"/>
  <c r="AB95" i="10"/>
  <c r="AA95" i="10"/>
  <c r="Z95" i="10"/>
  <c r="Y95" i="10"/>
  <c r="X95" i="10"/>
  <c r="W95" i="10"/>
  <c r="V95" i="10"/>
  <c r="U95" i="10"/>
  <c r="T95" i="10"/>
  <c r="S95" i="10"/>
  <c r="R95" i="10"/>
  <c r="Q95" i="10"/>
  <c r="P95" i="10"/>
  <c r="O95" i="10"/>
  <c r="N95" i="10"/>
  <c r="M95" i="10"/>
  <c r="L95" i="10"/>
  <c r="K95" i="10"/>
  <c r="J95" i="10"/>
  <c r="I95" i="10"/>
  <c r="H95" i="10"/>
  <c r="G95" i="10"/>
  <c r="F95" i="10"/>
  <c r="E95" i="10"/>
  <c r="D95" i="10"/>
  <c r="C95" i="10"/>
  <c r="B95" i="10"/>
  <c r="AG80" i="9"/>
  <c r="AF80" i="9"/>
  <c r="AE80" i="9"/>
  <c r="AD80" i="9"/>
  <c r="AC80" i="9"/>
  <c r="AB80" i="9"/>
  <c r="AA80" i="9"/>
  <c r="Z80" i="9"/>
  <c r="Y80" i="9"/>
  <c r="X80" i="9"/>
  <c r="W80" i="9"/>
  <c r="V80" i="9"/>
  <c r="T80" i="9"/>
  <c r="S80" i="9"/>
  <c r="R80" i="9"/>
  <c r="Q80" i="9"/>
  <c r="P80" i="9"/>
  <c r="O80" i="9"/>
  <c r="N80" i="9"/>
  <c r="M80" i="9"/>
  <c r="L80" i="9"/>
  <c r="K80" i="9"/>
  <c r="J80" i="9"/>
  <c r="I80" i="9"/>
  <c r="H80" i="9"/>
  <c r="G80" i="9"/>
  <c r="F80" i="9"/>
  <c r="E80" i="9"/>
  <c r="D80" i="9"/>
  <c r="C80" i="9"/>
  <c r="B80" i="9"/>
  <c r="AG79" i="9"/>
  <c r="AF79" i="9"/>
  <c r="AE79" i="9"/>
  <c r="AD79" i="9"/>
  <c r="AC79" i="9"/>
  <c r="AB79" i="9"/>
  <c r="AA79" i="9"/>
  <c r="Z79" i="9"/>
  <c r="Y79" i="9"/>
  <c r="X79" i="9"/>
  <c r="W79" i="9"/>
  <c r="V79" i="9"/>
  <c r="T79" i="9"/>
  <c r="S79" i="9"/>
  <c r="R79" i="9"/>
  <c r="Q79" i="9"/>
  <c r="P79" i="9"/>
  <c r="O79" i="9"/>
  <c r="N79" i="9"/>
  <c r="M79" i="9"/>
  <c r="L79" i="9"/>
  <c r="K79" i="9"/>
  <c r="J79" i="9"/>
  <c r="I79" i="9"/>
  <c r="H79" i="9"/>
  <c r="G79" i="9"/>
  <c r="F79" i="9"/>
  <c r="E79" i="9"/>
  <c r="D79" i="9"/>
  <c r="C79" i="9"/>
  <c r="B79" i="9"/>
  <c r="BO72" i="11" l="1"/>
  <c r="BO71" i="11"/>
  <c r="BN71" i="11"/>
  <c r="BN72" i="11"/>
  <c r="BN96" i="10"/>
  <c r="BN97" i="10"/>
  <c r="BN98" i="10"/>
  <c r="BN95" i="10"/>
  <c r="BN99" i="10"/>
  <c r="BO95" i="10"/>
  <c r="BO96" i="10"/>
  <c r="BO97" i="10"/>
  <c r="BO98" i="10"/>
  <c r="BO99" i="10"/>
  <c r="BN80" i="9"/>
  <c r="BO80" i="9"/>
  <c r="BO79" i="9"/>
  <c r="BN79" i="9"/>
  <c r="BF16" i="14"/>
  <c r="BF15" i="14"/>
  <c r="BF14" i="14"/>
  <c r="BF13" i="14"/>
  <c r="BF12" i="14"/>
  <c r="BF11" i="14"/>
  <c r="BF10" i="14"/>
  <c r="BF9" i="14"/>
  <c r="AB15" i="16" l="1"/>
  <c r="AH4" i="16"/>
  <c r="AH5" i="16"/>
  <c r="AH6" i="16"/>
  <c r="AH7" i="16"/>
  <c r="AH8" i="16"/>
  <c r="AH9" i="16"/>
  <c r="AH10" i="16"/>
  <c r="AH12" i="16"/>
  <c r="AH13" i="16"/>
  <c r="AH14" i="16"/>
  <c r="B15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Q15" i="16"/>
  <c r="R15" i="16"/>
  <c r="S15" i="16"/>
  <c r="T15" i="16"/>
  <c r="U15" i="16"/>
  <c r="V15" i="16"/>
  <c r="W15" i="16"/>
  <c r="X15" i="16"/>
  <c r="Y15" i="16"/>
  <c r="Z15" i="16"/>
  <c r="AA15" i="16"/>
  <c r="AC15" i="16"/>
  <c r="AD15" i="16"/>
  <c r="AE15" i="16"/>
  <c r="AF15" i="16"/>
  <c r="AG15" i="16"/>
  <c r="AH16" i="16"/>
  <c r="AH17" i="16"/>
  <c r="AH18" i="16"/>
  <c r="B19" i="16"/>
  <c r="C19" i="16"/>
  <c r="D19" i="16"/>
  <c r="E19" i="16"/>
  <c r="F19" i="16"/>
  <c r="G19" i="16"/>
  <c r="H19" i="16"/>
  <c r="I19" i="16"/>
  <c r="J19" i="16"/>
  <c r="K19" i="16"/>
  <c r="L19" i="16"/>
  <c r="M19" i="16"/>
  <c r="N19" i="16"/>
  <c r="O19" i="16"/>
  <c r="P19" i="16"/>
  <c r="Q19" i="16"/>
  <c r="R19" i="16"/>
  <c r="S19" i="16"/>
  <c r="T19" i="16"/>
  <c r="U19" i="16"/>
  <c r="V19" i="16"/>
  <c r="W19" i="16"/>
  <c r="X19" i="16"/>
  <c r="Y19" i="16"/>
  <c r="Z19" i="16"/>
  <c r="AA19" i="16"/>
  <c r="AB19" i="16"/>
  <c r="AC19" i="16"/>
  <c r="AD19" i="16"/>
  <c r="AE19" i="16"/>
  <c r="AF19" i="16"/>
  <c r="AG19" i="16"/>
  <c r="CN37" i="14"/>
  <c r="CL37" i="14"/>
  <c r="CK37" i="14"/>
  <c r="CI37" i="14"/>
  <c r="CH37" i="14"/>
  <c r="CC37" i="14"/>
  <c r="CC38" i="14" s="1"/>
  <c r="CB37" i="14"/>
  <c r="BZ37" i="14"/>
  <c r="BY37" i="14"/>
  <c r="BS37" i="14"/>
  <c r="BQ37" i="14"/>
  <c r="BP37" i="14"/>
  <c r="BN37" i="14"/>
  <c r="BM37" i="14"/>
  <c r="BK37" i="14"/>
  <c r="BJ37" i="14"/>
  <c r="BH37" i="14"/>
  <c r="BG37" i="14"/>
  <c r="BE37" i="14"/>
  <c r="BD37" i="14"/>
  <c r="BB37" i="14"/>
  <c r="BA37" i="14"/>
  <c r="AY37" i="14"/>
  <c r="AX37" i="14"/>
  <c r="AV37" i="14"/>
  <c r="AU37" i="14"/>
  <c r="AP37" i="14"/>
  <c r="AO37" i="14"/>
  <c r="AM37" i="14"/>
  <c r="AL37" i="14"/>
  <c r="AJ37" i="14"/>
  <c r="AI37" i="14"/>
  <c r="AD37" i="14"/>
  <c r="AC37" i="14"/>
  <c r="Z37" i="14"/>
  <c r="X37" i="14"/>
  <c r="W37" i="14"/>
  <c r="U37" i="14"/>
  <c r="T37" i="14"/>
  <c r="O37" i="14"/>
  <c r="N37" i="14"/>
  <c r="L37" i="14"/>
  <c r="K37" i="14"/>
  <c r="I37" i="14"/>
  <c r="H37" i="14"/>
  <c r="E37" i="14"/>
  <c r="C37" i="14"/>
  <c r="B37" i="14"/>
  <c r="CJ36" i="14"/>
  <c r="CG36" i="14"/>
  <c r="CD36" i="14"/>
  <c r="BU36" i="14"/>
  <c r="BT37" i="14"/>
  <c r="BR36" i="14"/>
  <c r="BO36" i="14"/>
  <c r="BL36" i="14"/>
  <c r="BI36" i="14"/>
  <c r="BF36" i="14"/>
  <c r="BC36" i="14"/>
  <c r="AZ36" i="14"/>
  <c r="AW36" i="14"/>
  <c r="AT36" i="14"/>
  <c r="AQ36" i="14"/>
  <c r="AN36" i="14"/>
  <c r="AK36" i="14"/>
  <c r="AH36" i="14"/>
  <c r="AE36" i="14"/>
  <c r="AB36" i="14"/>
  <c r="Y36" i="14"/>
  <c r="V36" i="14"/>
  <c r="S36" i="14"/>
  <c r="Q37" i="14"/>
  <c r="P36" i="14"/>
  <c r="M36" i="14"/>
  <c r="G36" i="14"/>
  <c r="D36" i="14"/>
  <c r="CJ35" i="14"/>
  <c r="CG35" i="14"/>
  <c r="CD35" i="14"/>
  <c r="BU35" i="14"/>
  <c r="BR35" i="14"/>
  <c r="BL35" i="14"/>
  <c r="BI35" i="14"/>
  <c r="BF35" i="14"/>
  <c r="BC35" i="14"/>
  <c r="AZ35" i="14"/>
  <c r="AW35" i="14"/>
  <c r="AT35" i="14"/>
  <c r="AQ35" i="14"/>
  <c r="AN35" i="14"/>
  <c r="AK35" i="14"/>
  <c r="AH35" i="14"/>
  <c r="AE35" i="14"/>
  <c r="AB35" i="14"/>
  <c r="Y35" i="14"/>
  <c r="V35" i="14"/>
  <c r="S35" i="14"/>
  <c r="P35" i="14"/>
  <c r="M35" i="14"/>
  <c r="F37" i="14"/>
  <c r="D35" i="14"/>
  <c r="CP33" i="14"/>
  <c r="CJ33" i="14"/>
  <c r="CG33" i="14"/>
  <c r="CD33" i="14"/>
  <c r="CA33" i="14"/>
  <c r="BU33" i="14"/>
  <c r="BR33" i="14"/>
  <c r="BO33" i="14"/>
  <c r="BL33" i="14"/>
  <c r="BI33" i="14"/>
  <c r="BF33" i="14"/>
  <c r="BC33" i="14"/>
  <c r="AZ33" i="14"/>
  <c r="AW33" i="14"/>
  <c r="AT33" i="14"/>
  <c r="AQ33" i="14"/>
  <c r="AN33" i="14"/>
  <c r="AK33" i="14"/>
  <c r="AH33" i="14"/>
  <c r="AE33" i="14"/>
  <c r="AB33" i="14"/>
  <c r="Y33" i="14"/>
  <c r="V33" i="14"/>
  <c r="S33" i="14"/>
  <c r="P33" i="14"/>
  <c r="M33" i="14"/>
  <c r="J33" i="14"/>
  <c r="G33" i="14"/>
  <c r="D33" i="14"/>
  <c r="CP32" i="14"/>
  <c r="CJ32" i="14"/>
  <c r="CG32" i="14"/>
  <c r="CD32" i="14"/>
  <c r="CA32" i="14"/>
  <c r="BU32" i="14"/>
  <c r="BR32" i="14"/>
  <c r="BO32" i="14"/>
  <c r="BL32" i="14"/>
  <c r="BI32" i="14"/>
  <c r="BF32" i="14"/>
  <c r="BC32" i="14"/>
  <c r="AZ32" i="14"/>
  <c r="AW32" i="14"/>
  <c r="AT32" i="14"/>
  <c r="AQ32" i="14"/>
  <c r="AN32" i="14"/>
  <c r="AK32" i="14"/>
  <c r="AH32" i="14"/>
  <c r="AE32" i="14"/>
  <c r="AA37" i="14"/>
  <c r="Y32" i="14"/>
  <c r="V32" i="14"/>
  <c r="S32" i="14"/>
  <c r="P32" i="14"/>
  <c r="M32" i="14"/>
  <c r="J32" i="14"/>
  <c r="G32" i="14"/>
  <c r="D32" i="14"/>
  <c r="CP31" i="14"/>
  <c r="CJ31" i="14"/>
  <c r="CG31" i="14"/>
  <c r="CD31" i="14"/>
  <c r="CA31" i="14"/>
  <c r="BU31" i="14"/>
  <c r="BR31" i="14"/>
  <c r="BO31" i="14"/>
  <c r="BL31" i="14"/>
  <c r="BI31" i="14"/>
  <c r="BF31" i="14"/>
  <c r="BC31" i="14"/>
  <c r="AZ31" i="14"/>
  <c r="AW31" i="14"/>
  <c r="AT31" i="14"/>
  <c r="AQ31" i="14"/>
  <c r="AN31" i="14"/>
  <c r="AK31" i="14"/>
  <c r="AH31" i="14"/>
  <c r="AE31" i="14"/>
  <c r="AB31" i="14"/>
  <c r="Y31" i="14"/>
  <c r="V31" i="14"/>
  <c r="S31" i="14"/>
  <c r="P31" i="14"/>
  <c r="M31" i="14"/>
  <c r="G31" i="14"/>
  <c r="D31" i="14"/>
  <c r="CP30" i="14"/>
  <c r="CJ30" i="14"/>
  <c r="CG30" i="14"/>
  <c r="CD30" i="14"/>
  <c r="CA30" i="14"/>
  <c r="BU30" i="14"/>
  <c r="BR30" i="14"/>
  <c r="BO30" i="14"/>
  <c r="BL30" i="14"/>
  <c r="BI30" i="14"/>
  <c r="BF30" i="14"/>
  <c r="BC30" i="14"/>
  <c r="AZ30" i="14"/>
  <c r="AW30" i="14"/>
  <c r="AS37" i="14"/>
  <c r="AR37" i="14"/>
  <c r="AQ30" i="14"/>
  <c r="AN30" i="14"/>
  <c r="AK30" i="14"/>
  <c r="AH30" i="14"/>
  <c r="AE30" i="14"/>
  <c r="AB30" i="14"/>
  <c r="Y30" i="14"/>
  <c r="V30" i="14"/>
  <c r="S30" i="14"/>
  <c r="P30" i="14"/>
  <c r="M30" i="14"/>
  <c r="J30" i="14"/>
  <c r="G30" i="14"/>
  <c r="D30" i="14"/>
  <c r="CJ29" i="14"/>
  <c r="CG29" i="14"/>
  <c r="CD29" i="14"/>
  <c r="BU29" i="14"/>
  <c r="BR29" i="14"/>
  <c r="BL29" i="14"/>
  <c r="BI29" i="14"/>
  <c r="BF29" i="14"/>
  <c r="BC29" i="14"/>
  <c r="AZ29" i="14"/>
  <c r="AW29" i="14"/>
  <c r="AT29" i="14"/>
  <c r="AQ29" i="14"/>
  <c r="AN29" i="14"/>
  <c r="AK29" i="14"/>
  <c r="AH29" i="14"/>
  <c r="AE29" i="14"/>
  <c r="AB29" i="14"/>
  <c r="Y29" i="14"/>
  <c r="V29" i="14"/>
  <c r="S29" i="14"/>
  <c r="P29" i="14"/>
  <c r="M29" i="14"/>
  <c r="G29" i="14"/>
  <c r="D29" i="14"/>
  <c r="CJ28" i="14"/>
  <c r="CG28" i="14"/>
  <c r="CD28" i="14"/>
  <c r="BU28" i="14"/>
  <c r="BR28" i="14"/>
  <c r="BL28" i="14"/>
  <c r="BI28" i="14"/>
  <c r="BF28" i="14"/>
  <c r="BC28" i="14"/>
  <c r="AZ28" i="14"/>
  <c r="AW28" i="14"/>
  <c r="AT28" i="14"/>
  <c r="AQ28" i="14"/>
  <c r="AN28" i="14"/>
  <c r="AK28" i="14"/>
  <c r="AH28" i="14"/>
  <c r="AE28" i="14"/>
  <c r="AB28" i="14"/>
  <c r="Y28" i="14"/>
  <c r="V28" i="14"/>
  <c r="S28" i="14"/>
  <c r="P28" i="14"/>
  <c r="M28" i="14"/>
  <c r="G28" i="14"/>
  <c r="D28" i="14"/>
  <c r="CP27" i="14"/>
  <c r="CJ27" i="14"/>
  <c r="CG27" i="14"/>
  <c r="CD27" i="14"/>
  <c r="CA27" i="14"/>
  <c r="BU27" i="14"/>
  <c r="BR27" i="14"/>
  <c r="BL27" i="14"/>
  <c r="BI27" i="14"/>
  <c r="BF27" i="14"/>
  <c r="BC27" i="14"/>
  <c r="AZ27" i="14"/>
  <c r="AW27" i="14"/>
  <c r="AT27" i="14"/>
  <c r="AQ27" i="14"/>
  <c r="AN27" i="14"/>
  <c r="AK27" i="14"/>
  <c r="AH27" i="14"/>
  <c r="AE27" i="14"/>
  <c r="AB27" i="14"/>
  <c r="Y27" i="14"/>
  <c r="V27" i="14"/>
  <c r="S27" i="14"/>
  <c r="P27" i="14"/>
  <c r="M27" i="14"/>
  <c r="J27" i="14"/>
  <c r="G27" i="14"/>
  <c r="D27" i="14"/>
  <c r="CP26" i="14"/>
  <c r="CJ26" i="14"/>
  <c r="CG26" i="14"/>
  <c r="CD26" i="14"/>
  <c r="CA26" i="14"/>
  <c r="BU26" i="14"/>
  <c r="BR26" i="14"/>
  <c r="BO26" i="14"/>
  <c r="BL26" i="14"/>
  <c r="BI26" i="14"/>
  <c r="BF26" i="14"/>
  <c r="BC26" i="14"/>
  <c r="AZ26" i="14"/>
  <c r="AW26" i="14"/>
  <c r="AT26" i="14"/>
  <c r="AQ26" i="14"/>
  <c r="AN26" i="14"/>
  <c r="AK26" i="14"/>
  <c r="AH26" i="14"/>
  <c r="AE26" i="14"/>
  <c r="AB26" i="14"/>
  <c r="Y26" i="14"/>
  <c r="V26" i="14"/>
  <c r="S26" i="14"/>
  <c r="P26" i="14"/>
  <c r="M26" i="14"/>
  <c r="J26" i="14"/>
  <c r="G26" i="14"/>
  <c r="D26" i="14"/>
  <c r="CP25" i="14"/>
  <c r="CJ25" i="14"/>
  <c r="CG25" i="14"/>
  <c r="CD25" i="14"/>
  <c r="CA25" i="14"/>
  <c r="BU25" i="14"/>
  <c r="BR25" i="14"/>
  <c r="BO25" i="14"/>
  <c r="BL25" i="14"/>
  <c r="BI25" i="14"/>
  <c r="BF25" i="14"/>
  <c r="BC25" i="14"/>
  <c r="AZ25" i="14"/>
  <c r="AW25" i="14"/>
  <c r="AT25" i="14"/>
  <c r="AQ25" i="14"/>
  <c r="AN25" i="14"/>
  <c r="AK25" i="14"/>
  <c r="AH25" i="14"/>
  <c r="AE25" i="14"/>
  <c r="AB25" i="14"/>
  <c r="Y25" i="14"/>
  <c r="V25" i="14"/>
  <c r="S25" i="14"/>
  <c r="P25" i="14"/>
  <c r="M25" i="14"/>
  <c r="J25" i="14"/>
  <c r="G25" i="14"/>
  <c r="D25" i="14"/>
  <c r="CP24" i="14"/>
  <c r="CJ24" i="14"/>
  <c r="CG24" i="14"/>
  <c r="CD24" i="14"/>
  <c r="CA24" i="14"/>
  <c r="BU24" i="14"/>
  <c r="BR24" i="14"/>
  <c r="BO24" i="14"/>
  <c r="BL24" i="14"/>
  <c r="BI24" i="14"/>
  <c r="BF24" i="14"/>
  <c r="BC24" i="14"/>
  <c r="AZ24" i="14"/>
  <c r="AW24" i="14"/>
  <c r="AT24" i="14"/>
  <c r="AQ24" i="14"/>
  <c r="AN24" i="14"/>
  <c r="AK24" i="14"/>
  <c r="AH24" i="14"/>
  <c r="AE24" i="14"/>
  <c r="AB24" i="14"/>
  <c r="Y24" i="14"/>
  <c r="V24" i="14"/>
  <c r="S24" i="14"/>
  <c r="P24" i="14"/>
  <c r="M24" i="14"/>
  <c r="J24" i="14"/>
  <c r="G24" i="14"/>
  <c r="D24" i="14"/>
  <c r="CO37" i="14"/>
  <c r="CJ23" i="14"/>
  <c r="CG23" i="14"/>
  <c r="CD23" i="14"/>
  <c r="BU23" i="14"/>
  <c r="BR23" i="14"/>
  <c r="BO23" i="14"/>
  <c r="BL23" i="14"/>
  <c r="BI23" i="14"/>
  <c r="BF23" i="14"/>
  <c r="BC23" i="14"/>
  <c r="AZ23" i="14"/>
  <c r="AW23" i="14"/>
  <c r="AT23" i="14"/>
  <c r="AQ23" i="14"/>
  <c r="AN23" i="14"/>
  <c r="AK23" i="14"/>
  <c r="AH23" i="14"/>
  <c r="AE23" i="14"/>
  <c r="AB23" i="14"/>
  <c r="Y23" i="14"/>
  <c r="V23" i="14"/>
  <c r="S23" i="14"/>
  <c r="P23" i="14"/>
  <c r="M23" i="14"/>
  <c r="G23" i="14"/>
  <c r="D23" i="14"/>
  <c r="CJ22" i="14"/>
  <c r="CG22" i="14"/>
  <c r="CD22" i="14"/>
  <c r="BU22" i="14"/>
  <c r="BR22" i="14"/>
  <c r="BL22" i="14"/>
  <c r="BI22" i="14"/>
  <c r="BF22" i="14"/>
  <c r="BC22" i="14"/>
  <c r="AZ22" i="14"/>
  <c r="AW22" i="14"/>
  <c r="AT22" i="14"/>
  <c r="AQ22" i="14"/>
  <c r="AN22" i="14"/>
  <c r="AK22" i="14"/>
  <c r="AH22" i="14"/>
  <c r="AG37" i="14"/>
  <c r="AF37" i="14"/>
  <c r="AE22" i="14"/>
  <c r="AB22" i="14"/>
  <c r="Y22" i="14"/>
  <c r="V22" i="14"/>
  <c r="S22" i="14"/>
  <c r="P22" i="14"/>
  <c r="M22" i="14"/>
  <c r="G22" i="14"/>
  <c r="D22" i="14"/>
  <c r="CO20" i="14"/>
  <c r="CL20" i="14"/>
  <c r="CK20" i="14"/>
  <c r="CI20" i="14"/>
  <c r="CH20" i="14"/>
  <c r="CB20" i="14"/>
  <c r="BZ20" i="14"/>
  <c r="BY20" i="14"/>
  <c r="BQ20" i="14"/>
  <c r="BP20" i="14"/>
  <c r="BN20" i="14"/>
  <c r="BM20" i="14"/>
  <c r="BK20" i="14"/>
  <c r="BJ20" i="14"/>
  <c r="BH20" i="14"/>
  <c r="BG20" i="14"/>
  <c r="BE20" i="14"/>
  <c r="BD20" i="14"/>
  <c r="BB20" i="14"/>
  <c r="BA20" i="14"/>
  <c r="AY20" i="14"/>
  <c r="AX20" i="14"/>
  <c r="AV20" i="14"/>
  <c r="AU20" i="14"/>
  <c r="AP20" i="14"/>
  <c r="AO20" i="14"/>
  <c r="AJ20" i="14"/>
  <c r="AI20" i="14"/>
  <c r="AD20" i="14"/>
  <c r="AC20" i="14"/>
  <c r="AA20" i="14"/>
  <c r="Z20" i="14"/>
  <c r="X20" i="14"/>
  <c r="W20" i="14"/>
  <c r="O20" i="14"/>
  <c r="N20" i="14"/>
  <c r="L20" i="14"/>
  <c r="K20" i="14"/>
  <c r="I20" i="14"/>
  <c r="H20" i="14"/>
  <c r="E20" i="14"/>
  <c r="C20" i="14"/>
  <c r="B20" i="14"/>
  <c r="CJ19" i="14"/>
  <c r="CG19" i="14"/>
  <c r="CD19" i="14"/>
  <c r="BU19" i="14"/>
  <c r="BS20" i="14"/>
  <c r="BR19" i="14"/>
  <c r="BO19" i="14"/>
  <c r="BL19" i="14"/>
  <c r="BI19" i="14"/>
  <c r="BF19" i="14"/>
  <c r="BC19" i="14"/>
  <c r="AZ19" i="14"/>
  <c r="AW19" i="14"/>
  <c r="AT19" i="14"/>
  <c r="AQ19" i="14"/>
  <c r="AM20" i="14"/>
  <c r="AL20" i="14"/>
  <c r="AK19" i="14"/>
  <c r="AH19" i="14"/>
  <c r="AE19" i="14"/>
  <c r="AB19" i="14"/>
  <c r="Y19" i="14"/>
  <c r="V19" i="14"/>
  <c r="T20" i="14"/>
  <c r="R20" i="14"/>
  <c r="Q20" i="14"/>
  <c r="P19" i="14"/>
  <c r="M19" i="14"/>
  <c r="G19" i="14"/>
  <c r="D19" i="14"/>
  <c r="CJ18" i="14"/>
  <c r="CG18" i="14"/>
  <c r="CE20" i="14"/>
  <c r="CE38" i="14" s="1"/>
  <c r="CD18" i="14"/>
  <c r="BU18" i="14"/>
  <c r="BR18" i="14"/>
  <c r="BL18" i="14"/>
  <c r="BI18" i="14"/>
  <c r="BF18" i="14"/>
  <c r="BC18" i="14"/>
  <c r="AZ18" i="14"/>
  <c r="AW18" i="14"/>
  <c r="AQ18" i="14"/>
  <c r="AN18" i="14"/>
  <c r="AK18" i="14"/>
  <c r="AH18" i="14"/>
  <c r="AE18" i="14"/>
  <c r="AB18" i="14"/>
  <c r="Y18" i="14"/>
  <c r="V18" i="14"/>
  <c r="S18" i="14"/>
  <c r="P18" i="14"/>
  <c r="M18" i="14"/>
  <c r="F20" i="14"/>
  <c r="D18" i="14"/>
  <c r="CP17" i="14"/>
  <c r="CJ17" i="14"/>
  <c r="CG17" i="14"/>
  <c r="CD17" i="14"/>
  <c r="CA17" i="14"/>
  <c r="BU17" i="14"/>
  <c r="BR17" i="14"/>
  <c r="BO17" i="14"/>
  <c r="BL17" i="14"/>
  <c r="BI17" i="14"/>
  <c r="BF17" i="14"/>
  <c r="BC17" i="14"/>
  <c r="AZ17" i="14"/>
  <c r="AW17" i="14"/>
  <c r="AQ17" i="14"/>
  <c r="AN17" i="14"/>
  <c r="AK17" i="14"/>
  <c r="AH17" i="14"/>
  <c r="AE17" i="14"/>
  <c r="AB17" i="14"/>
  <c r="Y17" i="14"/>
  <c r="V17" i="14"/>
  <c r="S17" i="14"/>
  <c r="P17" i="14"/>
  <c r="M17" i="14"/>
  <c r="J17" i="14"/>
  <c r="G17" i="14"/>
  <c r="D17" i="14"/>
  <c r="CP16" i="14"/>
  <c r="CJ16" i="14"/>
  <c r="CG16" i="14"/>
  <c r="CD16" i="14"/>
  <c r="CA16" i="14"/>
  <c r="BU16" i="14"/>
  <c r="BR16" i="14"/>
  <c r="BL16" i="14"/>
  <c r="BI16" i="14"/>
  <c r="BC16" i="14"/>
  <c r="AZ16" i="14"/>
  <c r="AW16" i="14"/>
  <c r="AQ16" i="14"/>
  <c r="AN16" i="14"/>
  <c r="AK16" i="14"/>
  <c r="AH16" i="14"/>
  <c r="AE16" i="14"/>
  <c r="AB16" i="14"/>
  <c r="Y16" i="14"/>
  <c r="V16" i="14"/>
  <c r="S16" i="14"/>
  <c r="P16" i="14"/>
  <c r="M16" i="14"/>
  <c r="J16" i="14"/>
  <c r="G16" i="14"/>
  <c r="D16" i="14"/>
  <c r="CP15" i="14"/>
  <c r="CM15" i="14"/>
  <c r="CJ15" i="14"/>
  <c r="CG15" i="14"/>
  <c r="CD15" i="14"/>
  <c r="CA15" i="14"/>
  <c r="BU15" i="14"/>
  <c r="BR15" i="14"/>
  <c r="BO15" i="14"/>
  <c r="BL15" i="14"/>
  <c r="BI15" i="14"/>
  <c r="BC15" i="14"/>
  <c r="AZ15" i="14"/>
  <c r="AW15" i="14"/>
  <c r="AS20" i="14"/>
  <c r="AR20" i="14"/>
  <c r="AQ15" i="14"/>
  <c r="AN15" i="14"/>
  <c r="AK15" i="14"/>
  <c r="AH15" i="14"/>
  <c r="AE15" i="14"/>
  <c r="AB15" i="14"/>
  <c r="Y15" i="14"/>
  <c r="V15" i="14"/>
  <c r="S15" i="14"/>
  <c r="P15" i="14"/>
  <c r="M15" i="14"/>
  <c r="J15" i="14"/>
  <c r="G15" i="14"/>
  <c r="D15" i="14"/>
  <c r="CP14" i="14"/>
  <c r="CJ14" i="14"/>
  <c r="CG14" i="14"/>
  <c r="CD14" i="14"/>
  <c r="CA14" i="14"/>
  <c r="BU14" i="14"/>
  <c r="BR14" i="14"/>
  <c r="BL14" i="14"/>
  <c r="BI14" i="14"/>
  <c r="BC14" i="14"/>
  <c r="AZ14" i="14"/>
  <c r="AW14" i="14"/>
  <c r="AQ14" i="14"/>
  <c r="AN14" i="14"/>
  <c r="AK14" i="14"/>
  <c r="AH14" i="14"/>
  <c r="AE14" i="14"/>
  <c r="AB14" i="14"/>
  <c r="Y14" i="14"/>
  <c r="V14" i="14"/>
  <c r="S14" i="14"/>
  <c r="P14" i="14"/>
  <c r="M14" i="14"/>
  <c r="J14" i="14"/>
  <c r="G14" i="14"/>
  <c r="D14" i="14"/>
  <c r="CJ13" i="14"/>
  <c r="CG13" i="14"/>
  <c r="CD13" i="14"/>
  <c r="BU13" i="14"/>
  <c r="BR13" i="14"/>
  <c r="BL13" i="14"/>
  <c r="BI13" i="14"/>
  <c r="BC13" i="14"/>
  <c r="AZ13" i="14"/>
  <c r="AW13" i="14"/>
  <c r="AQ13" i="14"/>
  <c r="AN13" i="14"/>
  <c r="AK13" i="14"/>
  <c r="AH13" i="14"/>
  <c r="AE13" i="14"/>
  <c r="AB13" i="14"/>
  <c r="Y13" i="14"/>
  <c r="V13" i="14"/>
  <c r="S13" i="14"/>
  <c r="P13" i="14"/>
  <c r="M13" i="14"/>
  <c r="G13" i="14"/>
  <c r="D13" i="14"/>
  <c r="CP12" i="14"/>
  <c r="CJ12" i="14"/>
  <c r="CG12" i="14"/>
  <c r="CD12" i="14"/>
  <c r="CA12" i="14"/>
  <c r="BU12" i="14"/>
  <c r="BR12" i="14"/>
  <c r="BO12" i="14"/>
  <c r="BL12" i="14"/>
  <c r="BI12" i="14"/>
  <c r="BC12" i="14"/>
  <c r="AZ12" i="14"/>
  <c r="AW12" i="14"/>
  <c r="AQ12" i="14"/>
  <c r="AN12" i="14"/>
  <c r="AK12" i="14"/>
  <c r="AH12" i="14"/>
  <c r="AE12" i="14"/>
  <c r="AB12" i="14"/>
  <c r="Y12" i="14"/>
  <c r="V12" i="14"/>
  <c r="S12" i="14"/>
  <c r="P12" i="14"/>
  <c r="M12" i="14"/>
  <c r="J12" i="14"/>
  <c r="G12" i="14"/>
  <c r="D12" i="14"/>
  <c r="CP11" i="14"/>
  <c r="CJ11" i="14"/>
  <c r="CG11" i="14"/>
  <c r="CD11" i="14"/>
  <c r="CA11" i="14"/>
  <c r="BU11" i="14"/>
  <c r="BR11" i="14"/>
  <c r="BL11" i="14"/>
  <c r="BI11" i="14"/>
  <c r="BC11" i="14"/>
  <c r="AZ11" i="14"/>
  <c r="AW11" i="14"/>
  <c r="AQ11" i="14"/>
  <c r="AN11" i="14"/>
  <c r="AK11" i="14"/>
  <c r="AH11" i="14"/>
  <c r="AE11" i="14"/>
  <c r="AB11" i="14"/>
  <c r="Y11" i="14"/>
  <c r="V11" i="14"/>
  <c r="S11" i="14"/>
  <c r="P11" i="14"/>
  <c r="M11" i="14"/>
  <c r="J11" i="14"/>
  <c r="G11" i="14"/>
  <c r="D11" i="14"/>
  <c r="CJ10" i="14"/>
  <c r="CG10" i="14"/>
  <c r="CD10" i="14"/>
  <c r="BU10" i="14"/>
  <c r="BR10" i="14"/>
  <c r="BL10" i="14"/>
  <c r="BI10" i="14"/>
  <c r="BC10" i="14"/>
  <c r="AZ10" i="14"/>
  <c r="AW10" i="14"/>
  <c r="AQ10" i="14"/>
  <c r="AN10" i="14"/>
  <c r="AK10" i="14"/>
  <c r="AH10" i="14"/>
  <c r="AE10" i="14"/>
  <c r="AB10" i="14"/>
  <c r="Y10" i="14"/>
  <c r="V10" i="14"/>
  <c r="S10" i="14"/>
  <c r="P10" i="14"/>
  <c r="M10" i="14"/>
  <c r="G10" i="14"/>
  <c r="D10" i="14"/>
  <c r="CP9" i="14"/>
  <c r="CM9" i="14"/>
  <c r="CJ9" i="14"/>
  <c r="CG9" i="14"/>
  <c r="CD9" i="14"/>
  <c r="CA9" i="14"/>
  <c r="BU9" i="14"/>
  <c r="BR9" i="14"/>
  <c r="BO9" i="14"/>
  <c r="BL9" i="14"/>
  <c r="BI9" i="14"/>
  <c r="BC9" i="14"/>
  <c r="AZ9" i="14"/>
  <c r="AW9" i="14"/>
  <c r="AQ9" i="14"/>
  <c r="AN9" i="14"/>
  <c r="AK9" i="14"/>
  <c r="AH9" i="14"/>
  <c r="AE9" i="14"/>
  <c r="AB9" i="14"/>
  <c r="Y9" i="14"/>
  <c r="V9" i="14"/>
  <c r="S9" i="14"/>
  <c r="P9" i="14"/>
  <c r="M9" i="14"/>
  <c r="J9" i="14"/>
  <c r="G9" i="14"/>
  <c r="D9" i="14"/>
  <c r="CP8" i="14"/>
  <c r="CM8" i="14"/>
  <c r="CJ8" i="14"/>
  <c r="CG8" i="14"/>
  <c r="CD8" i="14"/>
  <c r="CA8" i="14"/>
  <c r="BU8" i="14"/>
  <c r="BR8" i="14"/>
  <c r="BO8" i="14"/>
  <c r="BL8" i="14"/>
  <c r="BI8" i="14"/>
  <c r="BF8" i="14"/>
  <c r="BC8" i="14"/>
  <c r="AZ8" i="14"/>
  <c r="AW8" i="14"/>
  <c r="AQ8" i="14"/>
  <c r="AN8" i="14"/>
  <c r="AK8" i="14"/>
  <c r="AH8" i="14"/>
  <c r="AE8" i="14"/>
  <c r="AB8" i="14"/>
  <c r="Y8" i="14"/>
  <c r="V8" i="14"/>
  <c r="S8" i="14"/>
  <c r="P8" i="14"/>
  <c r="M8" i="14"/>
  <c r="J8" i="14"/>
  <c r="G8" i="14"/>
  <c r="D8" i="14"/>
  <c r="CP7" i="14"/>
  <c r="CJ7" i="14"/>
  <c r="CG7" i="14"/>
  <c r="CD7" i="14"/>
  <c r="BU7" i="14"/>
  <c r="BR7" i="14"/>
  <c r="BL7" i="14"/>
  <c r="BI7" i="14"/>
  <c r="BC7" i="14"/>
  <c r="AZ7" i="14"/>
  <c r="AW7" i="14"/>
  <c r="AQ7" i="14"/>
  <c r="AN7" i="14"/>
  <c r="AK7" i="14"/>
  <c r="AH7" i="14"/>
  <c r="AE7" i="14"/>
  <c r="AB7" i="14"/>
  <c r="Y7" i="14"/>
  <c r="V7" i="14"/>
  <c r="S7" i="14"/>
  <c r="P7" i="14"/>
  <c r="M7" i="14"/>
  <c r="G7" i="14"/>
  <c r="D7" i="14"/>
  <c r="CJ6" i="14"/>
  <c r="CG6" i="14"/>
  <c r="CD6" i="14"/>
  <c r="BU6" i="14"/>
  <c r="BR6" i="14"/>
  <c r="BL6" i="14"/>
  <c r="BI6" i="14"/>
  <c r="BC6" i="14"/>
  <c r="AZ6" i="14"/>
  <c r="AW6" i="14"/>
  <c r="AQ6" i="14"/>
  <c r="AN6" i="14"/>
  <c r="AK6" i="14"/>
  <c r="AG20" i="14"/>
  <c r="AF20" i="14"/>
  <c r="AE6" i="14"/>
  <c r="AB6" i="14"/>
  <c r="Y6" i="14"/>
  <c r="V6" i="14"/>
  <c r="S6" i="14"/>
  <c r="P6" i="14"/>
  <c r="M6" i="14"/>
  <c r="G6" i="14"/>
  <c r="D6" i="14"/>
  <c r="CB38" i="14" l="1"/>
  <c r="CA37" i="14"/>
  <c r="BO37" i="14"/>
  <c r="BO20" i="14"/>
  <c r="I38" i="14"/>
  <c r="Y37" i="14"/>
  <c r="AL38" i="14"/>
  <c r="BB38" i="14"/>
  <c r="BF20" i="14"/>
  <c r="J37" i="14"/>
  <c r="AW37" i="14"/>
  <c r="BI20" i="14"/>
  <c r="B38" i="14"/>
  <c r="AU38" i="14"/>
  <c r="BG38" i="14"/>
  <c r="Y20" i="14"/>
  <c r="CA20" i="14"/>
  <c r="BI37" i="14"/>
  <c r="AW20" i="14"/>
  <c r="J20" i="14"/>
  <c r="BJ38" i="14"/>
  <c r="AF38" i="14"/>
  <c r="C38" i="14"/>
  <c r="AV38" i="14"/>
  <c r="BH38" i="14"/>
  <c r="BY38" i="14"/>
  <c r="AI38" i="14"/>
  <c r="BZ38" i="14"/>
  <c r="H38" i="14"/>
  <c r="W38" i="14"/>
  <c r="X38" i="14"/>
  <c r="BM38" i="14"/>
  <c r="BN38" i="14"/>
  <c r="S37" i="14"/>
  <c r="D37" i="14"/>
  <c r="D20" i="14"/>
  <c r="E38" i="14"/>
  <c r="K38" i="14"/>
  <c r="L38" i="14"/>
  <c r="M20" i="14"/>
  <c r="M37" i="14"/>
  <c r="V37" i="14"/>
  <c r="P37" i="14"/>
  <c r="P20" i="14"/>
  <c r="O38" i="14"/>
  <c r="N38" i="14"/>
  <c r="T38" i="14"/>
  <c r="V20" i="14"/>
  <c r="AB20" i="14"/>
  <c r="AA38" i="14"/>
  <c r="Z38" i="14"/>
  <c r="AK37" i="14"/>
  <c r="AH37" i="14"/>
  <c r="AJ38" i="14"/>
  <c r="AK20" i="14"/>
  <c r="AQ20" i="14"/>
  <c r="AO38" i="14"/>
  <c r="AP38" i="14"/>
  <c r="AN37" i="14"/>
  <c r="AQ37" i="14"/>
  <c r="BF37" i="14"/>
  <c r="BC37" i="14"/>
  <c r="AZ37" i="14"/>
  <c r="AX38" i="14"/>
  <c r="AY38" i="14"/>
  <c r="AZ20" i="14"/>
  <c r="BA38" i="14"/>
  <c r="BC20" i="14"/>
  <c r="BD38" i="14"/>
  <c r="BE38" i="14"/>
  <c r="BL20" i="14"/>
  <c r="BK38" i="14"/>
  <c r="BR20" i="14"/>
  <c r="BP38" i="14"/>
  <c r="BQ38" i="14"/>
  <c r="BL37" i="14"/>
  <c r="BR37" i="14"/>
  <c r="CD37" i="14"/>
  <c r="BU37" i="14"/>
  <c r="BU20" i="14"/>
  <c r="CD20" i="14"/>
  <c r="CG20" i="14"/>
  <c r="CJ20" i="14"/>
  <c r="CH38" i="14"/>
  <c r="CJ37" i="14"/>
  <c r="CI38" i="14"/>
  <c r="CL38" i="14"/>
  <c r="CM20" i="14"/>
  <c r="CM37" i="14"/>
  <c r="CK38" i="14"/>
  <c r="CP37" i="14"/>
  <c r="CO38" i="14"/>
  <c r="CP20" i="14"/>
  <c r="AD38" i="14"/>
  <c r="AE37" i="14"/>
  <c r="AE20" i="14"/>
  <c r="AC38" i="14"/>
  <c r="AH19" i="16"/>
  <c r="AH11" i="16"/>
  <c r="AH15" i="16"/>
  <c r="AS38" i="14"/>
  <c r="BS38" i="14"/>
  <c r="AG38" i="14"/>
  <c r="Q38" i="14"/>
  <c r="CG37" i="14"/>
  <c r="AR38" i="14"/>
  <c r="F38" i="14"/>
  <c r="AM38" i="14"/>
  <c r="AN19" i="14"/>
  <c r="AN20" i="14" s="1"/>
  <c r="BT20" i="14"/>
  <c r="BT38" i="14" s="1"/>
  <c r="AH6" i="14"/>
  <c r="AH20" i="14" s="1"/>
  <c r="CF20" i="14"/>
  <c r="CF38" i="14" s="1"/>
  <c r="CN20" i="14"/>
  <c r="CN38" i="14" s="1"/>
  <c r="AB32" i="14"/>
  <c r="AB37" i="14" s="1"/>
  <c r="U20" i="14"/>
  <c r="U38" i="14" s="1"/>
  <c r="R37" i="14"/>
  <c r="R38" i="14" s="1"/>
  <c r="G18" i="14"/>
  <c r="G20" i="14" s="1"/>
  <c r="AT20" i="14"/>
  <c r="S19" i="14"/>
  <c r="S20" i="14" s="1"/>
  <c r="AT30" i="14"/>
  <c r="AT37" i="14" s="1"/>
  <c r="G35" i="14"/>
  <c r="G37" i="14" s="1"/>
  <c r="CA38" i="14" l="1"/>
  <c r="BI38" i="14"/>
  <c r="BO38" i="14"/>
  <c r="J38" i="14"/>
  <c r="Y38" i="14"/>
  <c r="AW38" i="14"/>
  <c r="CG38" i="14"/>
  <c r="M38" i="14"/>
  <c r="V38" i="14"/>
  <c r="BF38" i="14"/>
  <c r="AN38" i="14"/>
  <c r="BC38" i="14"/>
  <c r="P38" i="14"/>
  <c r="D38" i="14"/>
  <c r="BU38" i="14"/>
  <c r="AH38" i="14"/>
  <c r="AB38" i="14"/>
  <c r="AZ38" i="14"/>
  <c r="CJ38" i="14"/>
  <c r="S38" i="14"/>
  <c r="G38" i="14"/>
  <c r="AK38" i="14"/>
  <c r="AQ38" i="14"/>
  <c r="AT38" i="14"/>
  <c r="BL38" i="14"/>
  <c r="BR38" i="14"/>
  <c r="CD38" i="14"/>
  <c r="CM38" i="14"/>
  <c r="CP38" i="14"/>
  <c r="AE38" i="14"/>
  <c r="DV15" i="2" l="1"/>
  <c r="DU15" i="2"/>
  <c r="DT15" i="2"/>
  <c r="DS15" i="2"/>
  <c r="DR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FE15" i="2"/>
  <c r="FD15" i="2"/>
  <c r="FC15" i="2"/>
  <c r="FB15" i="2"/>
  <c r="FA15" i="2"/>
  <c r="EZ15" i="2"/>
  <c r="EY15" i="2"/>
  <c r="EX15" i="2"/>
  <c r="EW15" i="2"/>
  <c r="EV15" i="2"/>
  <c r="EU15" i="2"/>
  <c r="EQ15" i="2"/>
  <c r="EP15" i="2"/>
  <c r="EO15" i="2"/>
  <c r="EN15" i="2"/>
  <c r="EM15" i="2"/>
  <c r="EL15" i="2"/>
  <c r="EK15" i="2"/>
  <c r="EJ15" i="2"/>
  <c r="EI15" i="2"/>
  <c r="EH15" i="2"/>
  <c r="EG15" i="2"/>
  <c r="EF15" i="2"/>
  <c r="EE15" i="2"/>
  <c r="ED15" i="2"/>
  <c r="EC15" i="2"/>
  <c r="EB15" i="2"/>
  <c r="EA15" i="2"/>
  <c r="DZ15" i="2"/>
  <c r="DY15" i="2"/>
  <c r="DX15" i="2"/>
  <c r="DW15" i="2"/>
  <c r="DQ15" i="2"/>
  <c r="DP15" i="2"/>
  <c r="DO15" i="2"/>
  <c r="DN15" i="2"/>
  <c r="DM15" i="2"/>
  <c r="DL15" i="2"/>
  <c r="DK15" i="2"/>
  <c r="DJ15" i="2"/>
  <c r="DI15" i="2"/>
  <c r="DH15" i="2"/>
  <c r="DG15" i="2"/>
  <c r="DF15" i="2"/>
  <c r="DE15" i="2"/>
  <c r="DD15" i="2"/>
  <c r="DC15" i="2"/>
  <c r="DB15" i="2"/>
  <c r="DA15" i="2"/>
  <c r="CZ15" i="2"/>
  <c r="CY15" i="2"/>
  <c r="CX15" i="2"/>
  <c r="CV15" i="2"/>
  <c r="CU15" i="2"/>
  <c r="CT15" i="2"/>
  <c r="CS15" i="2"/>
  <c r="CR15" i="2"/>
  <c r="CQ15" i="2"/>
  <c r="CP15" i="2"/>
  <c r="CO15" i="2"/>
  <c r="CN15" i="2"/>
  <c r="CM15" i="2"/>
  <c r="CL15" i="2"/>
  <c r="CK15" i="2"/>
  <c r="CJ15" i="2"/>
  <c r="CI15" i="2"/>
  <c r="CH15" i="2"/>
  <c r="CG15" i="2"/>
  <c r="CF15" i="2"/>
  <c r="CE15" i="2"/>
  <c r="CD15" i="2"/>
  <c r="CC15" i="2"/>
  <c r="CB15" i="2"/>
  <c r="CA15" i="2"/>
  <c r="BZ15" i="2"/>
  <c r="BY15" i="2"/>
  <c r="BX15" i="2"/>
  <c r="BW15" i="2"/>
  <c r="BV15" i="2"/>
  <c r="BU15" i="2"/>
  <c r="BT15" i="2"/>
  <c r="BS15" i="2"/>
  <c r="BR15" i="2"/>
  <c r="BQ15" i="2"/>
  <c r="BP15" i="2"/>
  <c r="BO15" i="2"/>
  <c r="BN15" i="2"/>
  <c r="BM15" i="2"/>
  <c r="BL15" i="2"/>
  <c r="BK15" i="2"/>
  <c r="BJ15" i="2"/>
  <c r="BI15" i="2"/>
  <c r="BH15" i="2"/>
  <c r="BG15" i="2"/>
  <c r="BF15" i="2"/>
  <c r="BE15" i="2"/>
  <c r="BD15" i="2"/>
  <c r="BC15" i="2"/>
  <c r="BB15" i="2"/>
  <c r="BA15" i="2"/>
  <c r="AZ15" i="2"/>
  <c r="AY15" i="2"/>
  <c r="AX15" i="2"/>
  <c r="AW15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D15" i="2"/>
  <c r="AC15" i="2"/>
  <c r="AB15" i="2"/>
  <c r="AA15" i="2"/>
  <c r="Y15" i="2"/>
  <c r="X15" i="2"/>
  <c r="W15" i="2"/>
  <c r="V15" i="2"/>
  <c r="BW11" i="3"/>
  <c r="BW10" i="3"/>
  <c r="BW9" i="3"/>
  <c r="BW8" i="3"/>
  <c r="BW7" i="3"/>
  <c r="BW6" i="3"/>
  <c r="BW5" i="3"/>
  <c r="AG23" i="7" l="1"/>
  <c r="AG25" i="7" s="1"/>
  <c r="AF23" i="7"/>
  <c r="AF25" i="7" s="1"/>
  <c r="AE23" i="7"/>
  <c r="AE25" i="7" s="1"/>
  <c r="AD23" i="7"/>
  <c r="AD25" i="7" s="1"/>
  <c r="AC23" i="7"/>
  <c r="AC25" i="7" s="1"/>
  <c r="AB23" i="7"/>
  <c r="AB25" i="7" s="1"/>
  <c r="AA23" i="7"/>
  <c r="AA25" i="7" s="1"/>
  <c r="Z23" i="7"/>
  <c r="Z25" i="7" s="1"/>
  <c r="Y23" i="7"/>
  <c r="Y25" i="7" s="1"/>
  <c r="X23" i="7"/>
  <c r="X25" i="7" s="1"/>
  <c r="W23" i="7"/>
  <c r="W25" i="7" s="1"/>
  <c r="V23" i="7"/>
  <c r="V25" i="7" s="1"/>
  <c r="U23" i="7"/>
  <c r="U25" i="7" s="1"/>
  <c r="T23" i="7"/>
  <c r="T25" i="7" s="1"/>
  <c r="S23" i="7"/>
  <c r="S25" i="7" s="1"/>
  <c r="R23" i="7"/>
  <c r="R25" i="7" s="1"/>
  <c r="Q23" i="7"/>
  <c r="Q25" i="7" s="1"/>
  <c r="P23" i="7"/>
  <c r="P25" i="7" s="1"/>
  <c r="O23" i="7"/>
  <c r="O25" i="7" s="1"/>
  <c r="N23" i="7"/>
  <c r="N25" i="7" s="1"/>
  <c r="M23" i="7"/>
  <c r="M25" i="7" s="1"/>
  <c r="L23" i="7"/>
  <c r="L25" i="7" s="1"/>
  <c r="K23" i="7"/>
  <c r="J23" i="7"/>
  <c r="I23" i="7"/>
  <c r="I25" i="7" s="1"/>
  <c r="H23" i="7"/>
  <c r="H25" i="7" s="1"/>
  <c r="G23" i="7"/>
  <c r="G25" i="7" s="1"/>
  <c r="F23" i="7"/>
  <c r="F25" i="7" s="1"/>
  <c r="E23" i="7"/>
  <c r="E25" i="7" s="1"/>
  <c r="D23" i="7"/>
  <c r="D25" i="7" s="1"/>
  <c r="C23" i="7"/>
  <c r="AG21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AG15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23" i="7"/>
  <c r="B21" i="7"/>
  <c r="B15" i="7"/>
  <c r="AH28" i="8"/>
  <c r="AH27" i="8"/>
  <c r="AH26" i="8"/>
  <c r="AH23" i="8"/>
  <c r="AH22" i="8"/>
  <c r="AH20" i="8"/>
  <c r="AH19" i="8"/>
  <c r="AH17" i="8"/>
  <c r="AH16" i="8"/>
  <c r="AH15" i="8"/>
  <c r="AH13" i="8"/>
  <c r="AH12" i="8"/>
  <c r="AH8" i="8"/>
  <c r="AH7" i="8"/>
  <c r="AH6" i="8"/>
  <c r="AH5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24" i="8"/>
  <c r="B21" i="8"/>
  <c r="B9" i="8"/>
  <c r="AG82" i="9"/>
  <c r="AF82" i="9"/>
  <c r="AE82" i="9"/>
  <c r="AD82" i="9"/>
  <c r="AC82" i="9"/>
  <c r="AB82" i="9"/>
  <c r="AA82" i="9"/>
  <c r="Z82" i="9"/>
  <c r="Y82" i="9"/>
  <c r="X82" i="9"/>
  <c r="W82" i="9"/>
  <c r="V82" i="9"/>
  <c r="T82" i="9"/>
  <c r="S82" i="9"/>
  <c r="R82" i="9"/>
  <c r="Q82" i="9"/>
  <c r="P82" i="9"/>
  <c r="O82" i="9"/>
  <c r="N82" i="9"/>
  <c r="M82" i="9"/>
  <c r="L82" i="9"/>
  <c r="K82" i="9"/>
  <c r="J82" i="9"/>
  <c r="I82" i="9"/>
  <c r="H82" i="9"/>
  <c r="G82" i="9"/>
  <c r="F82" i="9"/>
  <c r="E82" i="9"/>
  <c r="D82" i="9"/>
  <c r="C82" i="9"/>
  <c r="AG81" i="9"/>
  <c r="AF81" i="9"/>
  <c r="AE81" i="9"/>
  <c r="AD81" i="9"/>
  <c r="AC81" i="9"/>
  <c r="AB81" i="9"/>
  <c r="AA81" i="9"/>
  <c r="Z81" i="9"/>
  <c r="Y81" i="9"/>
  <c r="X81" i="9"/>
  <c r="W81" i="9"/>
  <c r="V81" i="9"/>
  <c r="T81" i="9"/>
  <c r="S81" i="9"/>
  <c r="R81" i="9"/>
  <c r="Q81" i="9"/>
  <c r="P81" i="9"/>
  <c r="O81" i="9"/>
  <c r="N81" i="9"/>
  <c r="M81" i="9"/>
  <c r="L81" i="9"/>
  <c r="K81" i="9"/>
  <c r="J81" i="9"/>
  <c r="I81" i="9"/>
  <c r="H81" i="9"/>
  <c r="G81" i="9"/>
  <c r="F81" i="9"/>
  <c r="E81" i="9"/>
  <c r="D81" i="9"/>
  <c r="C81" i="9"/>
  <c r="AG78" i="9"/>
  <c r="AF78" i="9"/>
  <c r="AE78" i="9"/>
  <c r="AD78" i="9"/>
  <c r="AC78" i="9"/>
  <c r="AB78" i="9"/>
  <c r="AA78" i="9"/>
  <c r="Z78" i="9"/>
  <c r="Y78" i="9"/>
  <c r="X78" i="9"/>
  <c r="W78" i="9"/>
  <c r="V78" i="9"/>
  <c r="T78" i="9"/>
  <c r="S78" i="9"/>
  <c r="R78" i="9"/>
  <c r="Q78" i="9"/>
  <c r="P78" i="9"/>
  <c r="O78" i="9"/>
  <c r="N78" i="9"/>
  <c r="M78" i="9"/>
  <c r="L78" i="9"/>
  <c r="K78" i="9"/>
  <c r="J78" i="9"/>
  <c r="I78" i="9"/>
  <c r="H78" i="9"/>
  <c r="G78" i="9"/>
  <c r="F78" i="9"/>
  <c r="E78" i="9"/>
  <c r="D78" i="9"/>
  <c r="C78" i="9"/>
  <c r="B82" i="9"/>
  <c r="B81" i="9"/>
  <c r="B78" i="9"/>
  <c r="AG100" i="10"/>
  <c r="AF100" i="10"/>
  <c r="AE100" i="10"/>
  <c r="AD100" i="10"/>
  <c r="AC100" i="10"/>
  <c r="AB100" i="10"/>
  <c r="AA100" i="10"/>
  <c r="Z100" i="10"/>
  <c r="Y100" i="10"/>
  <c r="X100" i="10"/>
  <c r="W100" i="10"/>
  <c r="V100" i="10"/>
  <c r="U100" i="10"/>
  <c r="T100" i="10"/>
  <c r="S100" i="10"/>
  <c r="R100" i="10"/>
  <c r="Q100" i="10"/>
  <c r="P100" i="10"/>
  <c r="O100" i="10"/>
  <c r="N100" i="10"/>
  <c r="M100" i="10"/>
  <c r="L100" i="10"/>
  <c r="K100" i="10"/>
  <c r="J100" i="10"/>
  <c r="I100" i="10"/>
  <c r="H100" i="10"/>
  <c r="G100" i="10"/>
  <c r="F100" i="10"/>
  <c r="E100" i="10"/>
  <c r="D100" i="10"/>
  <c r="C100" i="10"/>
  <c r="AG94" i="10"/>
  <c r="AF94" i="10"/>
  <c r="AE94" i="10"/>
  <c r="AD94" i="10"/>
  <c r="AC94" i="10"/>
  <c r="AB94" i="10"/>
  <c r="AA94" i="10"/>
  <c r="Z94" i="10"/>
  <c r="Y94" i="10"/>
  <c r="X94" i="10"/>
  <c r="W94" i="10"/>
  <c r="V94" i="10"/>
  <c r="U94" i="10"/>
  <c r="T94" i="10"/>
  <c r="S94" i="10"/>
  <c r="R94" i="10"/>
  <c r="Q94" i="10"/>
  <c r="P94" i="10"/>
  <c r="O94" i="10"/>
  <c r="N94" i="10"/>
  <c r="M94" i="10"/>
  <c r="L94" i="10"/>
  <c r="K94" i="10"/>
  <c r="J94" i="10"/>
  <c r="I94" i="10"/>
  <c r="H94" i="10"/>
  <c r="G94" i="10"/>
  <c r="F94" i="10"/>
  <c r="E94" i="10"/>
  <c r="D94" i="10"/>
  <c r="C94" i="10"/>
  <c r="B100" i="10"/>
  <c r="B94" i="10"/>
  <c r="AG73" i="11"/>
  <c r="AF73" i="11"/>
  <c r="AE73" i="11"/>
  <c r="AD73" i="11"/>
  <c r="AC73" i="11"/>
  <c r="AB73" i="11"/>
  <c r="AA73" i="11"/>
  <c r="Z73" i="11"/>
  <c r="Y73" i="11"/>
  <c r="X73" i="11"/>
  <c r="W73" i="11"/>
  <c r="V73" i="11"/>
  <c r="U73" i="11"/>
  <c r="T73" i="11"/>
  <c r="S73" i="11"/>
  <c r="R73" i="11"/>
  <c r="Q73" i="11"/>
  <c r="P73" i="11"/>
  <c r="O73" i="11"/>
  <c r="N73" i="11"/>
  <c r="M73" i="11"/>
  <c r="L73" i="11"/>
  <c r="K73" i="11"/>
  <c r="J73" i="11"/>
  <c r="I73" i="11"/>
  <c r="H73" i="11"/>
  <c r="G73" i="11"/>
  <c r="F73" i="11"/>
  <c r="E73" i="11"/>
  <c r="D73" i="11"/>
  <c r="C73" i="11"/>
  <c r="AG70" i="11"/>
  <c r="AF70" i="11"/>
  <c r="AE70" i="11"/>
  <c r="AD70" i="11"/>
  <c r="AC70" i="11"/>
  <c r="AB70" i="11"/>
  <c r="AA70" i="11"/>
  <c r="Z70" i="11"/>
  <c r="Y70" i="11"/>
  <c r="X70" i="11"/>
  <c r="W70" i="11"/>
  <c r="V70" i="11"/>
  <c r="U70" i="11"/>
  <c r="T70" i="11"/>
  <c r="S70" i="11"/>
  <c r="R70" i="11"/>
  <c r="Q70" i="11"/>
  <c r="P70" i="11"/>
  <c r="O70" i="11"/>
  <c r="N70" i="11"/>
  <c r="M70" i="11"/>
  <c r="L70" i="11"/>
  <c r="K70" i="11"/>
  <c r="J70" i="11"/>
  <c r="I70" i="11"/>
  <c r="H70" i="11"/>
  <c r="G70" i="11"/>
  <c r="F70" i="11"/>
  <c r="E70" i="11"/>
  <c r="D70" i="11"/>
  <c r="C70" i="11"/>
  <c r="B73" i="11"/>
  <c r="B70" i="11"/>
  <c r="AG15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CR14" i="3"/>
  <c r="CO14" i="3"/>
  <c r="CL14" i="3"/>
  <c r="CI14" i="3"/>
  <c r="CF14" i="3"/>
  <c r="CC14" i="3"/>
  <c r="BZ14" i="3"/>
  <c r="BT14" i="3"/>
  <c r="BQ14" i="3"/>
  <c r="BN14" i="3"/>
  <c r="BK14" i="3"/>
  <c r="BB14" i="3"/>
  <c r="AY14" i="3"/>
  <c r="AV14" i="3"/>
  <c r="AS14" i="3"/>
  <c r="AP14" i="3"/>
  <c r="AM14" i="3"/>
  <c r="AJ14" i="3"/>
  <c r="AG14" i="3"/>
  <c r="AD14" i="3"/>
  <c r="AA14" i="3"/>
  <c r="X14" i="3"/>
  <c r="R14" i="3"/>
  <c r="O14" i="3"/>
  <c r="L14" i="3"/>
  <c r="I14" i="3"/>
  <c r="F14" i="3"/>
  <c r="C14" i="3"/>
  <c r="CR13" i="3"/>
  <c r="CO13" i="3"/>
  <c r="CL13" i="3"/>
  <c r="CI13" i="3"/>
  <c r="CF13" i="3"/>
  <c r="CC13" i="3"/>
  <c r="BZ13" i="3"/>
  <c r="BT13" i="3"/>
  <c r="BQ13" i="3"/>
  <c r="BN13" i="3"/>
  <c r="BK13" i="3"/>
  <c r="BB13" i="3"/>
  <c r="AY13" i="3"/>
  <c r="AV13" i="3"/>
  <c r="AS13" i="3"/>
  <c r="AP13" i="3"/>
  <c r="AM13" i="3"/>
  <c r="AJ13" i="3"/>
  <c r="AG13" i="3"/>
  <c r="AD13" i="3"/>
  <c r="AA13" i="3"/>
  <c r="X13" i="3"/>
  <c r="R13" i="3"/>
  <c r="O13" i="3"/>
  <c r="L13" i="3"/>
  <c r="I13" i="3"/>
  <c r="F13" i="3"/>
  <c r="C13" i="3"/>
  <c r="CR12" i="3"/>
  <c r="CO12" i="3"/>
  <c r="CL12" i="3"/>
  <c r="CI12" i="3"/>
  <c r="CF12" i="3"/>
  <c r="CC12" i="3"/>
  <c r="BZ12" i="3"/>
  <c r="BT12" i="3"/>
  <c r="BQ12" i="3"/>
  <c r="BN12" i="3"/>
  <c r="BK12" i="3"/>
  <c r="BB12" i="3"/>
  <c r="AY12" i="3"/>
  <c r="AV12" i="3"/>
  <c r="AS12" i="3"/>
  <c r="AP12" i="3"/>
  <c r="AM12" i="3"/>
  <c r="AJ12" i="3"/>
  <c r="AG12" i="3"/>
  <c r="AD12" i="3"/>
  <c r="AA12" i="3"/>
  <c r="X12" i="3"/>
  <c r="R12" i="3"/>
  <c r="O12" i="3"/>
  <c r="L12" i="3"/>
  <c r="I12" i="3"/>
  <c r="F12" i="3"/>
  <c r="C12" i="3"/>
  <c r="CR11" i="3"/>
  <c r="CO11" i="3"/>
  <c r="CL11" i="3"/>
  <c r="CI11" i="3"/>
  <c r="CF11" i="3"/>
  <c r="CC11" i="3"/>
  <c r="BZ11" i="3"/>
  <c r="BT11" i="3"/>
  <c r="BQ11" i="3"/>
  <c r="BN11" i="3"/>
  <c r="BK11" i="3"/>
  <c r="BH11" i="3"/>
  <c r="BE11" i="3"/>
  <c r="BB11" i="3"/>
  <c r="AY11" i="3"/>
  <c r="AV11" i="3"/>
  <c r="AS11" i="3"/>
  <c r="AP11" i="3"/>
  <c r="AM11" i="3"/>
  <c r="AJ11" i="3"/>
  <c r="AG11" i="3"/>
  <c r="AD11" i="3"/>
  <c r="AA11" i="3"/>
  <c r="X11" i="3"/>
  <c r="R11" i="3"/>
  <c r="O11" i="3"/>
  <c r="L11" i="3"/>
  <c r="I11" i="3"/>
  <c r="F11" i="3"/>
  <c r="C11" i="3"/>
  <c r="CR10" i="3"/>
  <c r="CO10" i="3"/>
  <c r="CL10" i="3"/>
  <c r="CI10" i="3"/>
  <c r="CF10" i="3"/>
  <c r="CC10" i="3"/>
  <c r="BZ10" i="3"/>
  <c r="BT10" i="3"/>
  <c r="BQ10" i="3"/>
  <c r="BN10" i="3"/>
  <c r="BK10" i="3"/>
  <c r="BB10" i="3"/>
  <c r="AY10" i="3"/>
  <c r="AV10" i="3"/>
  <c r="AS10" i="3"/>
  <c r="AP10" i="3"/>
  <c r="AM10" i="3"/>
  <c r="AJ10" i="3"/>
  <c r="AG10" i="3"/>
  <c r="AD10" i="3"/>
  <c r="AA10" i="3"/>
  <c r="X10" i="3"/>
  <c r="R10" i="3"/>
  <c r="O10" i="3"/>
  <c r="L10" i="3"/>
  <c r="I10" i="3"/>
  <c r="F10" i="3"/>
  <c r="C10" i="3"/>
  <c r="CR9" i="3"/>
  <c r="CO9" i="3"/>
  <c r="CL9" i="3"/>
  <c r="CI9" i="3"/>
  <c r="CF9" i="3"/>
  <c r="CC9" i="3"/>
  <c r="BZ9" i="3"/>
  <c r="BT9" i="3"/>
  <c r="BQ9" i="3"/>
  <c r="BN9" i="3"/>
  <c r="BK9" i="3"/>
  <c r="BH9" i="3"/>
  <c r="BE9" i="3"/>
  <c r="BB9" i="3"/>
  <c r="AY9" i="3"/>
  <c r="AV9" i="3"/>
  <c r="AS9" i="3"/>
  <c r="AP9" i="3"/>
  <c r="AM9" i="3"/>
  <c r="AJ9" i="3"/>
  <c r="AG9" i="3"/>
  <c r="AD9" i="3"/>
  <c r="AA9" i="3"/>
  <c r="X9" i="3"/>
  <c r="R9" i="3"/>
  <c r="O9" i="3"/>
  <c r="L9" i="3"/>
  <c r="I9" i="3"/>
  <c r="F9" i="3"/>
  <c r="C9" i="3"/>
  <c r="CR8" i="3"/>
  <c r="CO8" i="3"/>
  <c r="CL8" i="3"/>
  <c r="CI8" i="3"/>
  <c r="CF8" i="3"/>
  <c r="CC8" i="3"/>
  <c r="BZ8" i="3"/>
  <c r="BT8" i="3"/>
  <c r="BQ8" i="3"/>
  <c r="BN8" i="3"/>
  <c r="BK8" i="3"/>
  <c r="BB8" i="3"/>
  <c r="AY8" i="3"/>
  <c r="AV8" i="3"/>
  <c r="AS8" i="3"/>
  <c r="AP8" i="3"/>
  <c r="AM8" i="3"/>
  <c r="AJ8" i="3"/>
  <c r="AG8" i="3"/>
  <c r="AD8" i="3"/>
  <c r="AA8" i="3"/>
  <c r="X8" i="3"/>
  <c r="R8" i="3"/>
  <c r="O8" i="3"/>
  <c r="L8" i="3"/>
  <c r="I8" i="3"/>
  <c r="F8" i="3"/>
  <c r="C8" i="3"/>
  <c r="CR7" i="3"/>
  <c r="CO7" i="3"/>
  <c r="CL7" i="3"/>
  <c r="CI7" i="3"/>
  <c r="CF7" i="3"/>
  <c r="CC7" i="3"/>
  <c r="BZ7" i="3"/>
  <c r="BT7" i="3"/>
  <c r="BQ7" i="3"/>
  <c r="BN7" i="3"/>
  <c r="BK7" i="3"/>
  <c r="BB7" i="3"/>
  <c r="AY7" i="3"/>
  <c r="AV7" i="3"/>
  <c r="AS7" i="3"/>
  <c r="AP7" i="3"/>
  <c r="AM7" i="3"/>
  <c r="AJ7" i="3"/>
  <c r="AG7" i="3"/>
  <c r="AD7" i="3"/>
  <c r="AA7" i="3"/>
  <c r="X7" i="3"/>
  <c r="R7" i="3"/>
  <c r="O7" i="3"/>
  <c r="L7" i="3"/>
  <c r="I7" i="3"/>
  <c r="F7" i="3"/>
  <c r="C7" i="3"/>
  <c r="CR6" i="3"/>
  <c r="CO6" i="3"/>
  <c r="CL6" i="3"/>
  <c r="CI6" i="3"/>
  <c r="CF6" i="3"/>
  <c r="CC6" i="3"/>
  <c r="BZ6" i="3"/>
  <c r="BT6" i="3"/>
  <c r="BQ6" i="3"/>
  <c r="BN6" i="3"/>
  <c r="BK6" i="3"/>
  <c r="BB6" i="3"/>
  <c r="AY6" i="3"/>
  <c r="AV6" i="3"/>
  <c r="AS6" i="3"/>
  <c r="AP6" i="3"/>
  <c r="AM6" i="3"/>
  <c r="AJ6" i="3"/>
  <c r="AG6" i="3"/>
  <c r="AD6" i="3"/>
  <c r="AA6" i="3"/>
  <c r="X6" i="3"/>
  <c r="R6" i="3"/>
  <c r="O6" i="3"/>
  <c r="L6" i="3"/>
  <c r="I6" i="3"/>
  <c r="F6" i="3"/>
  <c r="C6" i="3"/>
  <c r="CR5" i="3"/>
  <c r="CO5" i="3"/>
  <c r="CL5" i="3"/>
  <c r="CI5" i="3"/>
  <c r="CF5" i="3"/>
  <c r="CC5" i="3"/>
  <c r="BZ5" i="3"/>
  <c r="BT5" i="3"/>
  <c r="BQ5" i="3"/>
  <c r="BN5" i="3"/>
  <c r="BK5" i="3"/>
  <c r="BB5" i="3"/>
  <c r="AY5" i="3"/>
  <c r="AV5" i="3"/>
  <c r="AS5" i="3"/>
  <c r="AP5" i="3"/>
  <c r="AM5" i="3"/>
  <c r="AJ5" i="3"/>
  <c r="AG5" i="3"/>
  <c r="AD5" i="3"/>
  <c r="AA5" i="3"/>
  <c r="X5" i="3"/>
  <c r="U5" i="3"/>
  <c r="R5" i="3"/>
  <c r="O5" i="3"/>
  <c r="L5" i="3"/>
  <c r="I5" i="3"/>
  <c r="F5" i="3"/>
  <c r="C5" i="3"/>
  <c r="I25" i="8" l="1"/>
  <c r="BO15" i="12"/>
  <c r="BN15" i="12"/>
  <c r="BN70" i="11"/>
  <c r="BO73" i="11"/>
  <c r="BN73" i="11"/>
  <c r="BO70" i="11"/>
  <c r="BN94" i="10"/>
  <c r="BN100" i="10"/>
  <c r="BO100" i="10"/>
  <c r="BO94" i="10"/>
  <c r="BO82" i="9"/>
  <c r="BN78" i="9"/>
  <c r="BN81" i="9"/>
  <c r="BO81" i="9"/>
  <c r="BN82" i="9"/>
  <c r="BO78" i="9"/>
  <c r="U25" i="8"/>
  <c r="D25" i="8"/>
  <c r="AG25" i="8"/>
  <c r="B25" i="7"/>
  <c r="C25" i="7"/>
  <c r="B25" i="8"/>
  <c r="AF25" i="8"/>
  <c r="K25" i="7"/>
  <c r="J25" i="7"/>
  <c r="P25" i="8"/>
  <c r="S25" i="8"/>
  <c r="G25" i="8"/>
  <c r="N25" i="8"/>
  <c r="C25" i="8"/>
  <c r="K25" i="8"/>
  <c r="R25" i="8"/>
  <c r="W25" i="8"/>
  <c r="AD25" i="8"/>
  <c r="Z25" i="8"/>
  <c r="Y25" i="8"/>
  <c r="V25" i="8"/>
  <c r="T25" i="8"/>
  <c r="H25" i="8"/>
  <c r="E25" i="8"/>
  <c r="AE25" i="8"/>
  <c r="AC25" i="8"/>
  <c r="AB25" i="8"/>
  <c r="AA25" i="8"/>
  <c r="X25" i="8"/>
  <c r="Q25" i="8"/>
  <c r="O25" i="8"/>
  <c r="M25" i="8"/>
  <c r="L25" i="8"/>
  <c r="J25" i="8"/>
  <c r="AH14" i="8"/>
  <c r="AH24" i="8"/>
  <c r="F25" i="8"/>
  <c r="AH21" i="8"/>
  <c r="AH25" i="8" l="1"/>
  <c r="B15" i="6"/>
  <c r="B12" i="6"/>
  <c r="AH13" i="18"/>
  <c r="AH12" i="18"/>
  <c r="AH11" i="18"/>
  <c r="AH10" i="18"/>
  <c r="AH9" i="18"/>
  <c r="AH8" i="18"/>
  <c r="AH7" i="18"/>
  <c r="AH6" i="18"/>
  <c r="AH5" i="18"/>
  <c r="AH4" i="18"/>
  <c r="AG14" i="18"/>
  <c r="AF14" i="18"/>
  <c r="AE14" i="18"/>
  <c r="AD14" i="18"/>
  <c r="AC14" i="18"/>
  <c r="AB14" i="18"/>
  <c r="AA14" i="18"/>
  <c r="Z14" i="18"/>
  <c r="Y14" i="18"/>
  <c r="X14" i="18"/>
  <c r="W14" i="18"/>
  <c r="V14" i="18"/>
  <c r="U14" i="18"/>
  <c r="S14" i="18"/>
  <c r="R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AH14" i="17"/>
  <c r="AH13" i="17"/>
  <c r="AH12" i="17"/>
  <c r="AH11" i="17"/>
  <c r="AH10" i="17"/>
  <c r="AH9" i="17"/>
  <c r="AH8" i="17"/>
  <c r="AH7" i="17"/>
  <c r="AH6" i="17"/>
  <c r="AH5" i="17"/>
  <c r="AH4" i="17"/>
  <c r="AG15" i="17"/>
  <c r="AF15" i="17"/>
  <c r="AE15" i="17"/>
  <c r="AD15" i="17"/>
  <c r="AC15" i="17"/>
  <c r="AB15" i="17"/>
  <c r="AA15" i="17"/>
  <c r="Z15" i="17"/>
  <c r="Y15" i="17"/>
  <c r="X15" i="17"/>
  <c r="W15" i="17"/>
  <c r="V15" i="17"/>
  <c r="U15" i="17"/>
  <c r="T15" i="17"/>
  <c r="S15" i="17"/>
  <c r="R15" i="17"/>
  <c r="Q15" i="17"/>
  <c r="P15" i="17"/>
  <c r="O15" i="17"/>
  <c r="N15" i="17"/>
  <c r="M15" i="17"/>
  <c r="K15" i="17"/>
  <c r="J15" i="17"/>
  <c r="I15" i="17"/>
  <c r="H15" i="17"/>
  <c r="G15" i="17"/>
  <c r="F15" i="17"/>
  <c r="E15" i="17"/>
  <c r="D15" i="17"/>
  <c r="C15" i="17"/>
  <c r="B15" i="17"/>
  <c r="AH31" i="15"/>
  <c r="AH30" i="15"/>
  <c r="AH27" i="15"/>
  <c r="AH26" i="15"/>
  <c r="AH25" i="15"/>
  <c r="AH24" i="15"/>
  <c r="AH23" i="15"/>
  <c r="AH22" i="15"/>
  <c r="AH21" i="15"/>
  <c r="AH18" i="15"/>
  <c r="AH17" i="15"/>
  <c r="AH16" i="15"/>
  <c r="AH15" i="15"/>
  <c r="AH14" i="15"/>
  <c r="AH11" i="15"/>
  <c r="AH10" i="15"/>
  <c r="AH9" i="15"/>
  <c r="AH8" i="15"/>
  <c r="AH7" i="15"/>
  <c r="AH6" i="15"/>
  <c r="AH5" i="15"/>
  <c r="AG32" i="15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C32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AG19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AG12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32" i="15"/>
  <c r="B28" i="15"/>
  <c r="B19" i="15"/>
  <c r="B12" i="15"/>
  <c r="AH10" i="13"/>
  <c r="AH8" i="13"/>
  <c r="AH7" i="13"/>
  <c r="AH6" i="13"/>
  <c r="AH5" i="13"/>
  <c r="AH4" i="13"/>
  <c r="AG9" i="13"/>
  <c r="AF9" i="13"/>
  <c r="AE9" i="13"/>
  <c r="AD9" i="13"/>
  <c r="AC9" i="13"/>
  <c r="AB9" i="13"/>
  <c r="AA9" i="13"/>
  <c r="Z9" i="13"/>
  <c r="Y9" i="13"/>
  <c r="X9" i="13"/>
  <c r="W9" i="13"/>
  <c r="U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H32" i="15" l="1"/>
  <c r="AH19" i="15"/>
  <c r="AH28" i="15"/>
  <c r="AH12" i="15"/>
  <c r="AH15" i="17"/>
  <c r="BL7" i="1"/>
  <c r="BJ7" i="1"/>
  <c r="BF7" i="1"/>
  <c r="BD7" i="1"/>
  <c r="BB7" i="1"/>
  <c r="AZ7" i="1"/>
  <c r="AX7" i="1"/>
  <c r="AV7" i="1"/>
  <c r="AT7" i="1"/>
  <c r="AR7" i="1"/>
  <c r="AP7" i="1"/>
  <c r="AJ7" i="1"/>
  <c r="AH7" i="1"/>
  <c r="AF7" i="1"/>
  <c r="AD7" i="1"/>
  <c r="AB7" i="1"/>
  <c r="Z7" i="1"/>
  <c r="X7" i="1"/>
  <c r="T7" i="1"/>
  <c r="R7" i="1"/>
  <c r="P7" i="1"/>
  <c r="N7" i="1"/>
  <c r="L7" i="1"/>
  <c r="B7" i="1"/>
  <c r="BL15" i="1" l="1"/>
  <c r="BJ15" i="1"/>
  <c r="BF15" i="1"/>
  <c r="BD15" i="1"/>
  <c r="BB15" i="1"/>
  <c r="AZ15" i="1"/>
  <c r="AX15" i="1"/>
  <c r="AV15" i="1"/>
  <c r="AT15" i="1"/>
  <c r="AR15" i="1"/>
  <c r="AP15" i="1"/>
  <c r="AJ15" i="1"/>
  <c r="AH15" i="1"/>
  <c r="AF15" i="1"/>
  <c r="AD15" i="1"/>
  <c r="AB15" i="1"/>
  <c r="Z15" i="1"/>
  <c r="X15" i="1"/>
  <c r="V15" i="1"/>
  <c r="T15" i="1"/>
  <c r="R15" i="1"/>
  <c r="P15" i="1"/>
  <c r="N15" i="1"/>
  <c r="L15" i="1"/>
  <c r="B15" i="1"/>
  <c r="BL13" i="1"/>
  <c r="BJ13" i="1"/>
  <c r="BF13" i="1"/>
  <c r="BD13" i="1"/>
  <c r="BB13" i="1"/>
  <c r="AZ13" i="1"/>
  <c r="AX13" i="1"/>
  <c r="AV13" i="1"/>
  <c r="AT13" i="1"/>
  <c r="AR13" i="1"/>
  <c r="AP13" i="1"/>
  <c r="AN13" i="1"/>
  <c r="AJ13" i="1"/>
  <c r="AH13" i="1"/>
  <c r="AF13" i="1"/>
  <c r="AD13" i="1"/>
  <c r="AB13" i="1"/>
  <c r="Z13" i="1"/>
  <c r="X13" i="1"/>
  <c r="V13" i="1"/>
  <c r="T13" i="1"/>
  <c r="R13" i="1"/>
  <c r="P13" i="1"/>
  <c r="N13" i="1"/>
  <c r="L13" i="1"/>
  <c r="B13" i="1"/>
  <c r="AO7" i="1" l="1"/>
  <c r="AO15" i="1"/>
  <c r="AN7" i="1"/>
  <c r="AN15" i="1"/>
  <c r="BH8" i="3"/>
  <c r="BH5" i="3"/>
  <c r="BH7" i="3"/>
  <c r="BH6" i="3"/>
  <c r="BH10" i="3"/>
  <c r="BH14" i="3"/>
  <c r="BH13" i="3"/>
  <c r="BH12" i="3"/>
  <c r="BV15" i="6" l="1"/>
  <c r="BV12" i="6"/>
  <c r="AL15" i="7" l="1"/>
  <c r="BN15" i="7" s="1"/>
  <c r="AM15" i="7"/>
  <c r="BO15" i="7" s="1"/>
  <c r="AL21" i="7"/>
  <c r="BN21" i="7" s="1"/>
  <c r="AL23" i="7"/>
  <c r="BN23" i="7" s="1"/>
  <c r="AM21" i="7"/>
  <c r="BO21" i="7" s="1"/>
  <c r="AM23" i="7"/>
  <c r="BO23" i="7" s="1"/>
  <c r="AM25" i="7" l="1"/>
  <c r="BO25" i="7" s="1"/>
  <c r="AL25" i="7"/>
  <c r="BN25" i="7" s="1"/>
  <c r="BO9" i="1"/>
  <c r="AM7" i="1"/>
  <c r="BO7" i="1" s="1"/>
  <c r="BN9" i="1"/>
  <c r="AL7" i="1"/>
  <c r="BN7" i="1" s="1"/>
  <c r="BN14" i="1"/>
  <c r="BO14" i="1"/>
  <c r="AM13" i="1"/>
  <c r="BO13" i="1" s="1"/>
  <c r="AM15" i="1"/>
  <c r="BO15" i="1" s="1"/>
  <c r="AL13" i="1"/>
  <c r="BN13" i="1" s="1"/>
  <c r="AL15" i="1"/>
  <c r="BN15" i="1" s="1"/>
  <c r="AH10" i="8"/>
  <c r="T9" i="8"/>
  <c r="AH9" i="8" s="1"/>
  <c r="BE6" i="3"/>
  <c r="BE7" i="3"/>
  <c r="BE8" i="3"/>
  <c r="BE5" i="3"/>
  <c r="BE10" i="3"/>
  <c r="BE12" i="3"/>
  <c r="BE14" i="3"/>
  <c r="BE13" i="3"/>
  <c r="AH11" i="13"/>
  <c r="T9" i="13"/>
  <c r="AH9" i="13" s="1"/>
  <c r="AH15" i="18"/>
  <c r="T14" i="18"/>
  <c r="AH14" i="18" s="1"/>
</calcChain>
</file>

<file path=xl/sharedStrings.xml><?xml version="1.0" encoding="utf-8"?>
<sst xmlns="http://schemas.openxmlformats.org/spreadsheetml/2006/main" count="4824" uniqueCount="315">
  <si>
    <t>Particulars</t>
  </si>
  <si>
    <t>Acko</t>
  </si>
  <si>
    <t>AICL</t>
  </si>
  <si>
    <t>Bajaj Allianz</t>
  </si>
  <si>
    <t>Bharti Axa</t>
  </si>
  <si>
    <t>Edelweiss</t>
  </si>
  <si>
    <t>ECGC</t>
  </si>
  <si>
    <t>Future Generali</t>
  </si>
  <si>
    <t>HDFC Ergo</t>
  </si>
  <si>
    <t>ICICI Lombard</t>
  </si>
  <si>
    <t>Iffco Tokio</t>
  </si>
  <si>
    <t>Liberty</t>
  </si>
  <si>
    <t>Magma HDI</t>
  </si>
  <si>
    <t>National</t>
  </si>
  <si>
    <t>Royal Sundaram</t>
  </si>
  <si>
    <t>SBI</t>
  </si>
  <si>
    <t>Shriram</t>
  </si>
  <si>
    <t>Star Health</t>
  </si>
  <si>
    <t>Tata AIG</t>
  </si>
  <si>
    <t>United India</t>
  </si>
  <si>
    <t>Universal Sompo</t>
  </si>
  <si>
    <t>Industry Total</t>
  </si>
  <si>
    <t>Premiums earned (Net)</t>
  </si>
  <si>
    <t>Profit/ Loss on sale/redemption of Investments</t>
  </si>
  <si>
    <t>Other Income</t>
  </si>
  <si>
    <t>Interest, Dividend &amp; Rent – Gross</t>
  </si>
  <si>
    <t>TOTAL (A)</t>
  </si>
  <si>
    <t>Claims Incurred (Net)</t>
  </si>
  <si>
    <t>Commission</t>
  </si>
  <si>
    <t>Operating Expenses related to Insurance Business</t>
  </si>
  <si>
    <t>TOTAL (B)</t>
  </si>
  <si>
    <t>Operating profit / (loss) (A-B)</t>
  </si>
  <si>
    <t>Others</t>
  </si>
  <si>
    <t>NL-1 Revenue Account</t>
  </si>
  <si>
    <t>in Rs. '000</t>
  </si>
  <si>
    <t>Capital Reserve</t>
  </si>
  <si>
    <t>Capital Redemption Reserve</t>
  </si>
  <si>
    <t>Share/Security Premium</t>
  </si>
  <si>
    <t>General Reserves</t>
  </si>
  <si>
    <t>Catastrophe Reserve</t>
  </si>
  <si>
    <t>Other Reserves</t>
  </si>
  <si>
    <t>Balance of Profit in Profit &amp; Loss Account</t>
  </si>
  <si>
    <t>TOTAL</t>
  </si>
  <si>
    <t>SECURITY-WISE CLASSIFICATION</t>
  </si>
  <si>
    <t>Secured</t>
  </si>
  <si>
    <t>(a) On mortgage of property</t>
  </si>
  <si>
    <t>(aa)  In India</t>
  </si>
  <si>
    <t>(bb) Outside India</t>
  </si>
  <si>
    <t>(b) On Shares, Bonds, Govt. Securities</t>
  </si>
  <si>
    <t>(c) Others</t>
  </si>
  <si>
    <t>Unsecured</t>
  </si>
  <si>
    <t>BORROWER-WISE CLASSIFICATION</t>
  </si>
  <si>
    <t>(a) Central and State Governments</t>
  </si>
  <si>
    <t>(b) Banks and Financial Institutions</t>
  </si>
  <si>
    <t>(c) Subsidiaries</t>
  </si>
  <si>
    <t>(d) Industrial Undertakings</t>
  </si>
  <si>
    <t xml:space="preserve">(e)  Others </t>
  </si>
  <si>
    <t>PERFORMANCE-WISE CLASSIFICATION</t>
  </si>
  <si>
    <t>(a) Loans classified as standard</t>
  </si>
  <si>
    <t>(b) Non-performing loans less provisions</t>
  </si>
  <si>
    <t>Provisions</t>
  </si>
  <si>
    <t>MATURITY-WISE CLASSIFICATION</t>
  </si>
  <si>
    <t>(a) Short Term</t>
  </si>
  <si>
    <t>(b) Long Term</t>
  </si>
  <si>
    <t>Goodwill</t>
  </si>
  <si>
    <t>Intangibles (Software)</t>
  </si>
  <si>
    <t>Land-Freehold</t>
  </si>
  <si>
    <t>Land-Leasehold</t>
  </si>
  <si>
    <t>Leasehold</t>
  </si>
  <si>
    <t xml:space="preserve">Buildings </t>
  </si>
  <si>
    <t>Furniture &amp; Fittings</t>
  </si>
  <si>
    <t>IT Equipments</t>
  </si>
  <si>
    <t>Motor Cars/Vehicles</t>
  </si>
  <si>
    <t>Office Equipments</t>
  </si>
  <si>
    <t>Electrical Equipments</t>
  </si>
  <si>
    <t>Other Assets</t>
  </si>
  <si>
    <t>Capital Work in progress</t>
  </si>
  <si>
    <t>Instangible Assets under development</t>
  </si>
  <si>
    <t>Grand Total</t>
  </si>
  <si>
    <t>Cash (including cheques, drafts and stamps)</t>
  </si>
  <si>
    <t>Bank Balances</t>
  </si>
  <si>
    <t>(a) Deposit Accounts</t>
  </si>
  <si>
    <t>           (aa) Short-term (due within 12 months)</t>
  </si>
  <si>
    <t>           (bb) Others</t>
  </si>
  <si>
    <t>(b) Current Accounts</t>
  </si>
  <si>
    <t>(c) Cheque in Hand</t>
  </si>
  <si>
    <t>(d) Others</t>
  </si>
  <si>
    <t>Money at Call and Short Notice</t>
  </si>
  <si>
    <t>(a) With Banks</t>
  </si>
  <si>
    <t>(b) With other Institutions</t>
  </si>
  <si>
    <t>Agents’ Balances</t>
  </si>
  <si>
    <t>Balances due to other insurance companies</t>
  </si>
  <si>
    <t>Deposits held on re-insurance ceded</t>
  </si>
  <si>
    <t>Premiums received in advance</t>
  </si>
  <si>
    <t>Unallocated Premium</t>
  </si>
  <si>
    <t>Sundry creditors</t>
  </si>
  <si>
    <t>Due to subsidiaries/ holding company</t>
  </si>
  <si>
    <t xml:space="preserve">Claims Outstanding </t>
  </si>
  <si>
    <t>Due to Directors/Officers</t>
  </si>
  <si>
    <t>Unclaimed amount of Policyholders</t>
  </si>
  <si>
    <t>in Rs. Lakhs</t>
  </si>
  <si>
    <t>Available Assets in Policyholders’ Funds</t>
  </si>
  <si>
    <t>Liabilities (reserves as mentioned in Form HG)</t>
  </si>
  <si>
    <t>Other Liabilities (other liabilities in respect of  Policyholders’ Fund as mentioned in Balance Sheet)</t>
  </si>
  <si>
    <t>Current Liabilities as per Balance Sheet</t>
  </si>
  <si>
    <t>Provisions as per Balance Sheet</t>
  </si>
  <si>
    <t xml:space="preserve">Excess in Policyholders’ Funds </t>
  </si>
  <si>
    <t>Available Assets in Shareholders’ Funds</t>
  </si>
  <si>
    <t>Other Liabilities (other liabilities in respect of Shareholders’ Fund as mentioned in Balance Sheet)</t>
  </si>
  <si>
    <t>Excess in Shareholders’ Funds</t>
  </si>
  <si>
    <t>Total Available Solvency Margin [ASM]</t>
  </si>
  <si>
    <t>Total Required Solvency Margin  [RSM]</t>
  </si>
  <si>
    <t>Solvency Ratio (Total ASM/Total RSM)</t>
  </si>
  <si>
    <t xml:space="preserve">NL-40 Business Acquisition Through Different Channels </t>
  </si>
  <si>
    <t>No. of Policies- in number only, Premium- in Rs. Lakhs</t>
  </si>
  <si>
    <t>Individual Agents</t>
  </si>
  <si>
    <t>Corporate Agents-Banks</t>
  </si>
  <si>
    <t>Corporate Agents -Others</t>
  </si>
  <si>
    <t>Brokers</t>
  </si>
  <si>
    <t>Micro Agents</t>
  </si>
  <si>
    <t>Direct Business</t>
  </si>
  <si>
    <t>Total (A)</t>
  </si>
  <si>
    <t>Referral (B)</t>
  </si>
  <si>
    <t>Grand Total (A+B)</t>
  </si>
  <si>
    <t>No.of Policies</t>
  </si>
  <si>
    <t>Premium</t>
  </si>
  <si>
    <t>NL-30 Analytical Ratios</t>
  </si>
  <si>
    <t>Gross Premium Growth Rate</t>
  </si>
  <si>
    <t>Gross Premium to shareholders' fund ratio</t>
  </si>
  <si>
    <t>Gross Direct Premium to Net Worth Ratio</t>
  </si>
  <si>
    <t>Growth Rate of Net Worth</t>
  </si>
  <si>
    <t>Growth rate of shareholders' fund</t>
  </si>
  <si>
    <t>Net Retention Ratio</t>
  </si>
  <si>
    <t>Net Commission Ratio</t>
  </si>
  <si>
    <t>Expense of Management to Gross Direct Premium Ratio</t>
  </si>
  <si>
    <t>Expense of Management to Net Written Premium Ratio</t>
  </si>
  <si>
    <t>Net Incurred claims to Net Earned Premium</t>
  </si>
  <si>
    <t>Combined Ratio</t>
  </si>
  <si>
    <t>Technical Reserves to net premium ratio</t>
  </si>
  <si>
    <t>Underwriting balance ratio</t>
  </si>
  <si>
    <t>Operating Profit Ratio</t>
  </si>
  <si>
    <t>Liquid Assets to Liabilities ratio</t>
  </si>
  <si>
    <t>Net earning ratio</t>
  </si>
  <si>
    <t>Return on net worth ratio</t>
  </si>
  <si>
    <t>Available Solvency Margin Ratio to Required Solvency Margin Ratio</t>
  </si>
  <si>
    <t>NPA Ratio</t>
  </si>
  <si>
    <t>Gross NPA Ratio</t>
  </si>
  <si>
    <t>Net NPA Ratio</t>
  </si>
  <si>
    <t>Motor TP</t>
  </si>
  <si>
    <t>Non TP</t>
  </si>
  <si>
    <t>Total</t>
  </si>
  <si>
    <t>Claims o/s at the beginning of the period</t>
  </si>
  <si>
    <t>Claims reported during the period</t>
  </si>
  <si>
    <t>Claims settled during the period</t>
  </si>
  <si>
    <t>Claims repudiated during the period</t>
  </si>
  <si>
    <t>Claims closed during the period</t>
  </si>
  <si>
    <t>Claims o/s at end of the period</t>
  </si>
  <si>
    <t>Less than 3 months</t>
  </si>
  <si>
    <t>3 months to 6 months</t>
  </si>
  <si>
    <t>6 months to 1 year</t>
  </si>
  <si>
    <t>1 year and above</t>
  </si>
  <si>
    <t>No. of Claims only</t>
  </si>
  <si>
    <t>No. of Reinsurers</t>
  </si>
  <si>
    <t>Premium ceded to reinsurers</t>
  </si>
  <si>
    <t>Premium ceded to reinsurers/ Total reinsurance premium ceded (%)</t>
  </si>
  <si>
    <t>Proportional</t>
  </si>
  <si>
    <t>Non-Proportional</t>
  </si>
  <si>
    <t>Facultative</t>
  </si>
  <si>
    <t>Reinsurance Placement</t>
  </si>
  <si>
    <t>No. of Reinsurers with rating of AAA and above</t>
  </si>
  <si>
    <t>No. of Reinsurers with rating AA but less than AAA</t>
  </si>
  <si>
    <t>No. of Reinsurers with rating A but less than AA</t>
  </si>
  <si>
    <t xml:space="preserve">No. of Reinsurers with rating BBB but less than A </t>
  </si>
  <si>
    <t>No. of Reinsurers with rating less than BBB</t>
  </si>
  <si>
    <t>No. of Domestic Reinsurance Placed with Indian Insurance Companies</t>
  </si>
  <si>
    <t>Domestic Capacity</t>
  </si>
  <si>
    <t>No. of Indian reinsurer other than GIC</t>
  </si>
  <si>
    <t>Government</t>
  </si>
  <si>
    <t>Shareholders</t>
  </si>
  <si>
    <t>Policyholders</t>
  </si>
  <si>
    <t>LONG TERM INVESTMENTS</t>
  </si>
  <si>
    <t>Government securities and Government guaranteed bonds including Treasury Bills</t>
  </si>
  <si>
    <t>Other Approved Securities</t>
  </si>
  <si>
    <t>Other Investments</t>
  </si>
  <si>
    <t>(a) Shares</t>
  </si>
  <si>
    <t xml:space="preserve">      (aa)  Equity</t>
  </si>
  <si>
    <t xml:space="preserve">      (bb) Preference</t>
  </si>
  <si>
    <t>(b) Mutual Funds</t>
  </si>
  <si>
    <t>(c) Debentures/ Bonds</t>
  </si>
  <si>
    <t>(d) Other securities</t>
  </si>
  <si>
    <t>(e) Non convertible debenture/bonds</t>
  </si>
  <si>
    <t>(f) Subsidiaries</t>
  </si>
  <si>
    <t>(g) Investment properties - Real Estate</t>
  </si>
  <si>
    <t>Investments in Infrastructure and Social Sector</t>
  </si>
  <si>
    <t>Other than Approved Investments</t>
  </si>
  <si>
    <t>TOTAL LONG TERM INVESTMENTS</t>
  </si>
  <si>
    <t>SHORT TERM INVESTMENTS</t>
  </si>
  <si>
    <t>TOTAL SHORT TERM INVESTMENTS</t>
  </si>
  <si>
    <t>(d) Non convertible debenture/bonds</t>
  </si>
  <si>
    <t>(e) Other securities</t>
  </si>
  <si>
    <t>(f) Fixed Deposit with Bank</t>
  </si>
  <si>
    <t>(g) Subsidiaries</t>
  </si>
  <si>
    <t>NL-7 Operating Expenses</t>
  </si>
  <si>
    <t>Employees remuneration and welfare benefits</t>
  </si>
  <si>
    <t>Travel conveyance and vehicle running expenses</t>
  </si>
  <si>
    <t>Training expenses</t>
  </si>
  <si>
    <t>Rent, rates and taxes</t>
  </si>
  <si>
    <t>Repairs and maintenance</t>
  </si>
  <si>
    <t>Printing and stationery</t>
  </si>
  <si>
    <t>Communication</t>
  </si>
  <si>
    <t>Legal and Professional Charges</t>
  </si>
  <si>
    <t>Advertisement and publicity</t>
  </si>
  <si>
    <t>Interest and bank charges</t>
  </si>
  <si>
    <t>Depreciation</t>
  </si>
  <si>
    <t>Service Tax Expenses / GST Expenses</t>
  </si>
  <si>
    <t>NL-6 Commission</t>
  </si>
  <si>
    <t>FIRE</t>
  </si>
  <si>
    <t>MARINE</t>
  </si>
  <si>
    <t>MOTOR</t>
  </si>
  <si>
    <t>ENGINEERING</t>
  </si>
  <si>
    <t>HEALTH</t>
  </si>
  <si>
    <t>PERSONAL ACCIDENT</t>
  </si>
  <si>
    <t>LIABILITY</t>
  </si>
  <si>
    <t>AVIATION</t>
  </si>
  <si>
    <t>OTHER MISCELLANEOUS</t>
  </si>
  <si>
    <t>Direct</t>
  </si>
  <si>
    <t>Net Commission</t>
  </si>
  <si>
    <t xml:space="preserve">NL-5 Claims </t>
  </si>
  <si>
    <t>Direct claims</t>
  </si>
  <si>
    <t>Net Premium</t>
  </si>
  <si>
    <t>Net Earned Premium</t>
  </si>
  <si>
    <t xml:space="preserve">NL-4 Premium </t>
  </si>
  <si>
    <t>SOURCES OF FUNDS</t>
  </si>
  <si>
    <t>Share Capital</t>
  </si>
  <si>
    <t>Reserves and Surplus</t>
  </si>
  <si>
    <t>Fair Value Change Account</t>
  </si>
  <si>
    <t>Borrowings</t>
  </si>
  <si>
    <t>APPLICATION OF FUNDS</t>
  </si>
  <si>
    <t>Investments- Shareholders Funds</t>
  </si>
  <si>
    <t>Investments- Policyholders Funds</t>
  </si>
  <si>
    <t>Total Investments</t>
  </si>
  <si>
    <t>Loans</t>
  </si>
  <si>
    <t>Fixed Assets</t>
  </si>
  <si>
    <t>Deferred Tax Assets</t>
  </si>
  <si>
    <t>Current Assets</t>
  </si>
  <si>
    <t>Cash and Bank Balances</t>
  </si>
  <si>
    <t>Advances and Other Assets</t>
  </si>
  <si>
    <t>Sub-Total (A)</t>
  </si>
  <si>
    <t>Current Liabilities</t>
  </si>
  <si>
    <t>Sub-Total (B)</t>
  </si>
  <si>
    <t>NET CURRENT ASSETS (C) = (A - B)</t>
  </si>
  <si>
    <t>Miscellaneous Expenditure (to the extent not written off or adjusted)</t>
  </si>
  <si>
    <t>Debit Balance in Profit and Loss Account</t>
  </si>
  <si>
    <t>OPERATING PROFIT/(LOSS)</t>
  </si>
  <si>
    <t>(a) Fire Insurance</t>
  </si>
  <si>
    <t>(b) Marine Insurance</t>
  </si>
  <si>
    <t>(c) Miscellaneous Insurance</t>
  </si>
  <si>
    <t>INCOME FROM INVESTMENTS</t>
  </si>
  <si>
    <t>(a) Interest, Dividend &amp; Rent – Gross</t>
  </si>
  <si>
    <t>(b) Profit on sale of investments</t>
  </si>
  <si>
    <t>Less: Loss on sale of investments</t>
  </si>
  <si>
    <t>(c) Accretion/(Amortisation) of Debt Securities</t>
  </si>
  <si>
    <t>(d) Amortization of Discount / (Premium)</t>
  </si>
  <si>
    <t>OTHER INCOME</t>
  </si>
  <si>
    <t>PROVISIONS (Other than taxation)</t>
  </si>
  <si>
    <t>(a) For diminution in the value of investments</t>
  </si>
  <si>
    <t>(b) For doubtful debts</t>
  </si>
  <si>
    <t xml:space="preserve">OTHER EXPENSES </t>
  </si>
  <si>
    <t>PROFIT / (LOSS) BEFORE TAX (A-B)</t>
  </si>
  <si>
    <t>PROFIT / (LOSS) AFTER TAX</t>
  </si>
  <si>
    <t>Provision for Taxation</t>
  </si>
  <si>
    <t>Premium from direct business written</t>
  </si>
  <si>
    <r>
      <t xml:space="preserve">NL-23 Reinsurance Risk Concentration
</t>
    </r>
    <r>
      <rPr>
        <b/>
        <sz val="12"/>
        <color theme="4" tint="-0.499984740745262"/>
        <rFont val="Calibri"/>
        <family val="2"/>
        <scheme val="minor"/>
      </rPr>
      <t xml:space="preserve">Rs. In Lakhs </t>
    </r>
  </si>
  <si>
    <t>Total Claims Incurred</t>
  </si>
  <si>
    <t>Premium on reinsurance accepted</t>
  </si>
  <si>
    <t>Premium on reinsurance ceded</t>
  </si>
  <si>
    <t>Reinsurance accepted</t>
  </si>
  <si>
    <t>Reinsurance ceded</t>
  </si>
  <si>
    <t>Claims Outstanding at the beginning of the year</t>
  </si>
  <si>
    <t>Claims Outstanding at the end of the year</t>
  </si>
  <si>
    <t xml:space="preserve">NL-2 Profit and Loss Account </t>
  </si>
  <si>
    <t>Gross Incurred Claims</t>
  </si>
  <si>
    <t>Aditya Birla Health</t>
  </si>
  <si>
    <t>Cholamandalam MS</t>
  </si>
  <si>
    <t>GoDigit</t>
  </si>
  <si>
    <t>Manipal Cigna Health</t>
  </si>
  <si>
    <t>Navi</t>
  </si>
  <si>
    <t>Raheja QBE</t>
  </si>
  <si>
    <t>The New India Assurance</t>
  </si>
  <si>
    <t>The Oriental</t>
  </si>
  <si>
    <t>Max Bupa Health</t>
  </si>
  <si>
    <t>Reliance</t>
  </si>
  <si>
    <t>(h) Investment properties - Real Estate</t>
  </si>
  <si>
    <t>Kotak</t>
  </si>
  <si>
    <t>Care Health</t>
  </si>
  <si>
    <t xml:space="preserve">Kotak </t>
  </si>
  <si>
    <t>For Q4 2020-21</t>
  </si>
  <si>
    <t>Upto 12 months 2020-21</t>
  </si>
  <si>
    <t>NL-3 Balance Sheet as at 31 March 2021</t>
  </si>
  <si>
    <t>NL-10 Reserves and Surplus as at 31 March 2021</t>
  </si>
  <si>
    <t>NL-12 Investments as at 31 March 2021</t>
  </si>
  <si>
    <t>NL-13 Loans as at 31 March 2021</t>
  </si>
  <si>
    <t>NL-14 Fixed Assets. Net Block as at 31 March 2021</t>
  </si>
  <si>
    <t>NL-15 Cash and Bank Balance as at 31 March 2021</t>
  </si>
  <si>
    <t>NL-17 Current Liabilities as at 31 March 2021</t>
  </si>
  <si>
    <t>NL-25 Quarterly Claims Data (Q4)</t>
  </si>
  <si>
    <t>NL-33 Solvency Margin KGII for the period ended 31 March 2021</t>
  </si>
  <si>
    <t>1.04 Times</t>
  </si>
  <si>
    <t>3.04 Times</t>
  </si>
  <si>
    <t xml:space="preserve">1.97 Times </t>
  </si>
  <si>
    <t>(0.04) Times</t>
  </si>
  <si>
    <t>0.52 Times</t>
  </si>
  <si>
    <t xml:space="preserve">0.67 Times </t>
  </si>
  <si>
    <t>(0.09) Times</t>
  </si>
  <si>
    <t>2.09 Times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</si>
</sst>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%"/>
  </numFmts>
  <fonts count="13" x14ac:knownFonts="1">
    <font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0" fillId="0" borderId="0"/>
    <xf numFmtId="43" fontId="11" fillId="0" borderId="0" applyFill="0" applyBorder="0" applyAlignment="0" applyProtection="0"/>
    <xf numFmtId="0" fontId="12" fillId="0" borderId="0"/>
    <xf numFmtId="43" fontId="5" fillId="0" borderId="0" applyFont="0" applyFill="0" applyBorder="0" applyAlignment="0" applyProtection="0"/>
  </cellStyleXfs>
  <cellXfs count="134">
    <xf numFmtId="0" fontId="0" fillId="0" borderId="0" xfId="0"/>
    <xf numFmtId="1" fontId="1" fillId="0" borderId="1" xfId="0" applyNumberFormat="1" applyFont="1" applyBorder="1" applyAlignment="1">
      <alignment horizontal="left" wrapText="1"/>
    </xf>
    <xf numFmtId="1" fontId="0" fillId="0" borderId="1" xfId="0" applyNumberForma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1" fontId="4" fillId="0" borderId="0" xfId="0" applyNumberFormat="1" applyFont="1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" fontId="1" fillId="0" borderId="0" xfId="0" applyNumberFormat="1" applyFont="1"/>
    <xf numFmtId="1" fontId="4" fillId="0" borderId="0" xfId="0" applyNumberFormat="1" applyFont="1"/>
    <xf numFmtId="1" fontId="0" fillId="0" borderId="1" xfId="0" applyNumberFormat="1" applyBorder="1"/>
    <xf numFmtId="1" fontId="1" fillId="0" borderId="1" xfId="0" applyNumberFormat="1" applyFont="1" applyBorder="1"/>
    <xf numFmtId="0" fontId="0" fillId="0" borderId="1" xfId="0" applyBorder="1" applyAlignment="1">
      <alignment wrapText="1"/>
    </xf>
    <xf numFmtId="1" fontId="4" fillId="0" borderId="0" xfId="0" applyNumberFormat="1" applyFont="1" applyAlignment="1"/>
    <xf numFmtId="1" fontId="0" fillId="0" borderId="0" xfId="0" applyNumberFormat="1" applyFont="1" applyAlignment="1">
      <alignment wrapText="1"/>
    </xf>
    <xf numFmtId="1" fontId="2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2" fontId="2" fillId="0" borderId="1" xfId="0" applyNumberFormat="1" applyFont="1" applyBorder="1" applyAlignment="1">
      <alignment vertical="center" wrapText="1"/>
    </xf>
    <xf numFmtId="2" fontId="0" fillId="0" borderId="1" xfId="0" applyNumberFormat="1" applyBorder="1"/>
    <xf numFmtId="2" fontId="0" fillId="0" borderId="1" xfId="0" applyNumberFormat="1" applyBorder="1" applyAlignment="1">
      <alignment wrapText="1"/>
    </xf>
    <xf numFmtId="2" fontId="2" fillId="0" borderId="1" xfId="0" applyNumberFormat="1" applyFont="1" applyBorder="1"/>
    <xf numFmtId="1" fontId="0" fillId="0" borderId="1" xfId="0" applyNumberFormat="1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1" fontId="0" fillId="0" borderId="0" xfId="0" applyNumberFormat="1" applyFont="1"/>
    <xf numFmtId="1" fontId="7" fillId="0" borderId="0" xfId="0" applyNumberFormat="1" applyFont="1"/>
    <xf numFmtId="1" fontId="0" fillId="0" borderId="1" xfId="0" applyNumberFormat="1" applyFont="1" applyBorder="1"/>
    <xf numFmtId="1" fontId="0" fillId="0" borderId="0" xfId="0" applyNumberFormat="1" applyFont="1" applyBorder="1"/>
    <xf numFmtId="1" fontId="7" fillId="0" borderId="0" xfId="0" applyNumberFormat="1" applyFont="1" applyBorder="1"/>
    <xf numFmtId="1" fontId="7" fillId="0" borderId="0" xfId="0" applyNumberFormat="1" applyFont="1" applyAlignment="1">
      <alignment wrapText="1"/>
    </xf>
    <xf numFmtId="1" fontId="0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0" fontId="0" fillId="0" borderId="1" xfId="0" applyBorder="1"/>
    <xf numFmtId="2" fontId="1" fillId="0" borderId="1" xfId="0" applyNumberFormat="1" applyFont="1" applyBorder="1"/>
    <xf numFmtId="2" fontId="1" fillId="0" borderId="0" xfId="0" applyNumberFormat="1" applyFont="1"/>
    <xf numFmtId="1" fontId="2" fillId="0" borderId="1" xfId="0" applyNumberFormat="1" applyFont="1" applyBorder="1"/>
    <xf numFmtId="1" fontId="2" fillId="0" borderId="0" xfId="0" applyNumberFormat="1" applyFont="1"/>
    <xf numFmtId="9" fontId="0" fillId="0" borderId="1" xfId="0" applyNumberFormat="1" applyBorder="1"/>
    <xf numFmtId="10" fontId="0" fillId="0" borderId="1" xfId="0" applyNumberFormat="1" applyBorder="1"/>
    <xf numFmtId="0" fontId="0" fillId="0" borderId="1" xfId="0" applyNumberFormat="1" applyBorder="1"/>
    <xf numFmtId="10" fontId="0" fillId="0" borderId="1" xfId="1" applyNumberFormat="1" applyFont="1" applyBorder="1"/>
    <xf numFmtId="2" fontId="0" fillId="0" borderId="1" xfId="1" applyNumberFormat="1" applyFont="1" applyBorder="1"/>
    <xf numFmtId="10" fontId="2" fillId="0" borderId="1" xfId="1" applyNumberFormat="1" applyFont="1" applyBorder="1"/>
    <xf numFmtId="2" fontId="0" fillId="0" borderId="0" xfId="0" applyNumberFormat="1"/>
    <xf numFmtId="2" fontId="1" fillId="0" borderId="1" xfId="0" applyNumberFormat="1" applyFont="1" applyBorder="1" applyAlignment="1">
      <alignment horizontal="left" wrapText="1"/>
    </xf>
    <xf numFmtId="2" fontId="2" fillId="0" borderId="0" xfId="0" applyNumberFormat="1" applyFont="1"/>
    <xf numFmtId="10" fontId="0" fillId="0" borderId="0" xfId="1" applyNumberFormat="1" applyFont="1"/>
    <xf numFmtId="1" fontId="4" fillId="0" borderId="0" xfId="0" applyNumberFormat="1" applyFont="1" applyFill="1" applyAlignment="1"/>
    <xf numFmtId="1" fontId="0" fillId="0" borderId="0" xfId="0" applyNumberFormat="1" applyFill="1"/>
    <xf numFmtId="1" fontId="0" fillId="0" borderId="0" xfId="0" applyNumberFormat="1" applyFill="1" applyAlignment="1">
      <alignment wrapText="1"/>
    </xf>
    <xf numFmtId="1" fontId="1" fillId="0" borderId="1" xfId="0" applyNumberFormat="1" applyFont="1" applyFill="1" applyBorder="1" applyAlignment="1">
      <alignment wrapText="1"/>
    </xf>
    <xf numFmtId="1" fontId="0" fillId="0" borderId="1" xfId="0" applyNumberFormat="1" applyFill="1" applyBorder="1"/>
    <xf numFmtId="1" fontId="0" fillId="0" borderId="1" xfId="0" applyNumberFormat="1" applyFill="1" applyBorder="1" applyAlignment="1">
      <alignment wrapText="1"/>
    </xf>
    <xf numFmtId="1" fontId="1" fillId="0" borderId="1" xfId="0" applyNumberFormat="1" applyFont="1" applyFill="1" applyBorder="1"/>
    <xf numFmtId="1" fontId="1" fillId="0" borderId="0" xfId="0" applyNumberFormat="1" applyFont="1" applyFill="1"/>
    <xf numFmtId="1" fontId="3" fillId="0" borderId="0" xfId="0" applyNumberFormat="1" applyFont="1"/>
    <xf numFmtId="2" fontId="4" fillId="0" borderId="0" xfId="0" applyNumberFormat="1" applyFont="1" applyAlignment="1">
      <alignment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vertical="center"/>
    </xf>
    <xf numFmtId="1" fontId="0" fillId="0" borderId="4" xfId="0" applyNumberFormat="1" applyBorder="1"/>
    <xf numFmtId="1" fontId="1" fillId="0" borderId="1" xfId="0" applyNumberFormat="1" applyFont="1" applyBorder="1" applyAlignment="1">
      <alignment horizontal="center" wrapText="1"/>
    </xf>
    <xf numFmtId="1" fontId="0" fillId="0" borderId="0" xfId="0" applyNumberFormat="1" applyAlignment="1">
      <alignment horizontal="center"/>
    </xf>
    <xf numFmtId="1" fontId="0" fillId="0" borderId="0" xfId="1" applyNumberFormat="1" applyFont="1"/>
    <xf numFmtId="1" fontId="0" fillId="0" borderId="1" xfId="1" applyNumberFormat="1" applyFont="1" applyBorder="1"/>
    <xf numFmtId="9" fontId="0" fillId="0" borderId="1" xfId="1" applyFont="1" applyBorder="1"/>
    <xf numFmtId="9" fontId="2" fillId="0" borderId="1" xfId="1" applyFont="1" applyBorder="1"/>
    <xf numFmtId="164" fontId="0" fillId="0" borderId="1" xfId="1" applyNumberFormat="1" applyFont="1" applyBorder="1"/>
    <xf numFmtId="1" fontId="1" fillId="2" borderId="1" xfId="0" applyNumberFormat="1" applyFont="1" applyFill="1" applyBorder="1"/>
    <xf numFmtId="1" fontId="6" fillId="2" borderId="1" xfId="0" applyNumberFormat="1" applyFont="1" applyFill="1" applyBorder="1"/>
    <xf numFmtId="1" fontId="9" fillId="2" borderId="1" xfId="0" applyNumberFormat="1" applyFont="1" applyFill="1" applyBorder="1"/>
    <xf numFmtId="1" fontId="2" fillId="2" borderId="1" xfId="0" applyNumberFormat="1" applyFont="1" applyFill="1" applyBorder="1"/>
    <xf numFmtId="1" fontId="0" fillId="2" borderId="1" xfId="0" applyNumberFormat="1" applyFont="1" applyFill="1" applyBorder="1"/>
    <xf numFmtId="1" fontId="0" fillId="2" borderId="1" xfId="0" applyNumberFormat="1" applyFill="1" applyBorder="1"/>
    <xf numFmtId="1" fontId="6" fillId="0" borderId="1" xfId="0" applyNumberFormat="1" applyFont="1" applyBorder="1"/>
    <xf numFmtId="1" fontId="1" fillId="0" borderId="1" xfId="0" applyNumberFormat="1" applyFont="1" applyBorder="1" applyAlignment="1">
      <alignment horizontal="center"/>
    </xf>
    <xf numFmtId="1" fontId="0" fillId="0" borderId="0" xfId="0" applyNumberFormat="1"/>
    <xf numFmtId="164" fontId="0" fillId="0" borderId="1" xfId="0" applyNumberFormat="1" applyBorder="1"/>
    <xf numFmtId="0" fontId="0" fillId="0" borderId="1" xfId="0" applyBorder="1" applyAlignment="1">
      <alignment horizontal="right"/>
    </xf>
    <xf numFmtId="9" fontId="0" fillId="0" borderId="0" xfId="1" applyFont="1"/>
    <xf numFmtId="1" fontId="0" fillId="3" borderId="1" xfId="0" applyNumberFormat="1" applyFill="1" applyBorder="1"/>
    <xf numFmtId="1" fontId="1" fillId="3" borderId="1" xfId="0" applyNumberFormat="1" applyFont="1" applyFill="1" applyBorder="1"/>
    <xf numFmtId="1" fontId="1" fillId="0" borderId="1" xfId="0" applyNumberFormat="1" applyFont="1" applyFill="1" applyBorder="1" applyAlignment="1">
      <alignment horizontal="left"/>
    </xf>
    <xf numFmtId="10" fontId="0" fillId="0" borderId="0" xfId="0" applyNumberFormat="1"/>
    <xf numFmtId="1" fontId="0" fillId="0" borderId="1" xfId="0" applyNumberFormat="1" applyBorder="1"/>
    <xf numFmtId="2" fontId="0" fillId="0" borderId="1" xfId="0" applyNumberFormat="1" applyBorder="1"/>
    <xf numFmtId="1" fontId="1" fillId="2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1" applyNumberFormat="1" applyFont="1" applyBorder="1"/>
    <xf numFmtId="1" fontId="1" fillId="0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2" fillId="0" borderId="1" xfId="0" applyNumberFormat="1" applyFont="1" applyFill="1" applyBorder="1"/>
    <xf numFmtId="9" fontId="0" fillId="0" borderId="1" xfId="0" applyNumberFormat="1" applyBorder="1" applyAlignment="1">
      <alignment horizontal="right"/>
    </xf>
    <xf numFmtId="1" fontId="0" fillId="0" borderId="1" xfId="0" applyNumberFormat="1" applyFont="1" applyFill="1" applyBorder="1"/>
    <xf numFmtId="164" fontId="0" fillId="0" borderId="1" xfId="0" applyNumberFormat="1" applyBorder="1" applyAlignment="1">
      <alignment horizontal="right"/>
    </xf>
    <xf numFmtId="1" fontId="3" fillId="0" borderId="1" xfId="0" applyNumberFormat="1" applyFont="1" applyBorder="1"/>
    <xf numFmtId="2" fontId="0" fillId="0" borderId="1" xfId="0" applyNumberFormat="1" applyBorder="1"/>
    <xf numFmtId="2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1" fontId="0" fillId="0" borderId="1" xfId="0" applyNumberFormat="1" applyBorder="1"/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vertical="center"/>
    </xf>
    <xf numFmtId="1" fontId="0" fillId="0" borderId="1" xfId="0" applyNumberFormat="1" applyBorder="1" applyAlignment="1">
      <alignment vertical="center" wrapText="1"/>
    </xf>
    <xf numFmtId="1" fontId="0" fillId="0" borderId="1" xfId="0" applyNumberFormat="1" applyBorder="1" applyAlignment="1">
      <alignment vertical="center"/>
    </xf>
    <xf numFmtId="1" fontId="6" fillId="2" borderId="1" xfId="0" applyNumberFormat="1" applyFont="1" applyFill="1" applyBorder="1" applyAlignment="1">
      <alignment vertical="center"/>
    </xf>
    <xf numFmtId="1" fontId="1" fillId="0" borderId="1" xfId="0" applyNumberFormat="1" applyFont="1" applyBorder="1" applyAlignment="1">
      <alignment vertical="center" wrapText="1"/>
    </xf>
    <xf numFmtId="1" fontId="1" fillId="0" borderId="1" xfId="0" applyNumberFormat="1" applyFont="1" applyBorder="1" applyAlignment="1">
      <alignment vertical="center"/>
    </xf>
    <xf numFmtId="1" fontId="1" fillId="2" borderId="1" xfId="0" applyNumberFormat="1" applyFont="1" applyFill="1" applyBorder="1" applyAlignment="1">
      <alignment vertical="center"/>
    </xf>
    <xf numFmtId="1" fontId="1" fillId="0" borderId="0" xfId="0" applyNumberFormat="1" applyFont="1" applyAlignment="1">
      <alignment vertical="center"/>
    </xf>
    <xf numFmtId="3" fontId="0" fillId="0" borderId="0" xfId="0" applyNumberFormat="1"/>
    <xf numFmtId="1" fontId="1" fillId="0" borderId="2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0" fontId="2" fillId="0" borderId="1" xfId="1" applyNumberFormat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1" fontId="1" fillId="0" borderId="1" xfId="2" applyNumberFormat="1" applyFont="1" applyBorder="1" applyAlignment="1">
      <alignment horizontal="center"/>
    </xf>
  </cellXfs>
  <cellStyles count="8">
    <cellStyle name="Comma 2" xfId="3"/>
    <cellStyle name="Comma 3" xfId="5"/>
    <cellStyle name="Comma 4" xfId="7"/>
    <cellStyle name="Currency" xfId="2" builtinId="4"/>
    <cellStyle name="Excel Built-in Normal" xfId="6"/>
    <cellStyle name="Normal" xfId="0" builtinId="0"/>
    <cellStyle name="Normal 2" xfId="4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5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5" sqref="A5"/>
    </sheetView>
  </sheetViews>
  <sheetFormatPr defaultRowHeight="15" x14ac:dyDescent="0.25"/>
  <cols>
    <col min="1" max="1" width="33.140625" style="76" customWidth="1"/>
    <col min="2" max="65" width="16" style="76" customWidth="1"/>
    <col min="66" max="66" width="16" style="35" customWidth="1"/>
    <col min="67" max="67" width="16" style="7" customWidth="1"/>
    <col min="68" max="16384" width="9.140625" style="76"/>
  </cols>
  <sheetData>
    <row r="1" spans="1:67" ht="18.75" x14ac:dyDescent="0.3">
      <c r="A1" s="4" t="s">
        <v>33</v>
      </c>
    </row>
    <row r="2" spans="1:67" x14ac:dyDescent="0.25">
      <c r="A2" s="5" t="s">
        <v>34</v>
      </c>
    </row>
    <row r="3" spans="1:67" x14ac:dyDescent="0.25">
      <c r="A3" s="1" t="s">
        <v>0</v>
      </c>
      <c r="B3" s="119" t="s">
        <v>1</v>
      </c>
      <c r="C3" s="120"/>
      <c r="D3" s="119" t="s">
        <v>282</v>
      </c>
      <c r="E3" s="120"/>
      <c r="F3" s="119" t="s">
        <v>2</v>
      </c>
      <c r="G3" s="120"/>
      <c r="H3" s="119" t="s">
        <v>3</v>
      </c>
      <c r="I3" s="120"/>
      <c r="J3" s="119" t="s">
        <v>4</v>
      </c>
      <c r="K3" s="120"/>
      <c r="L3" s="119" t="s">
        <v>283</v>
      </c>
      <c r="M3" s="120"/>
      <c r="N3" s="119" t="s">
        <v>6</v>
      </c>
      <c r="O3" s="120"/>
      <c r="P3" s="119" t="s">
        <v>5</v>
      </c>
      <c r="Q3" s="120"/>
      <c r="R3" s="119" t="s">
        <v>7</v>
      </c>
      <c r="S3" s="120"/>
      <c r="T3" s="119" t="s">
        <v>284</v>
      </c>
      <c r="U3" s="120"/>
      <c r="V3" s="119" t="s">
        <v>8</v>
      </c>
      <c r="W3" s="120"/>
      <c r="X3" s="119" t="s">
        <v>9</v>
      </c>
      <c r="Y3" s="120"/>
      <c r="Z3" s="119" t="s">
        <v>10</v>
      </c>
      <c r="AA3" s="120"/>
      <c r="AB3" s="119" t="s">
        <v>293</v>
      </c>
      <c r="AC3" s="120"/>
      <c r="AD3" s="119" t="s">
        <v>11</v>
      </c>
      <c r="AE3" s="120"/>
      <c r="AF3" s="119" t="s">
        <v>12</v>
      </c>
      <c r="AG3" s="120"/>
      <c r="AH3" s="119" t="s">
        <v>285</v>
      </c>
      <c r="AI3" s="120"/>
      <c r="AJ3" s="119" t="s">
        <v>290</v>
      </c>
      <c r="AK3" s="120"/>
      <c r="AL3" s="119" t="s">
        <v>13</v>
      </c>
      <c r="AM3" s="120"/>
      <c r="AN3" s="119" t="s">
        <v>286</v>
      </c>
      <c r="AO3" s="120"/>
      <c r="AP3" s="119" t="s">
        <v>287</v>
      </c>
      <c r="AQ3" s="120"/>
      <c r="AR3" s="119" t="s">
        <v>291</v>
      </c>
      <c r="AS3" s="120"/>
      <c r="AT3" s="119" t="s">
        <v>294</v>
      </c>
      <c r="AU3" s="120"/>
      <c r="AV3" s="119" t="s">
        <v>14</v>
      </c>
      <c r="AW3" s="120"/>
      <c r="AX3" s="119" t="s">
        <v>15</v>
      </c>
      <c r="AY3" s="120"/>
      <c r="AZ3" s="119" t="s">
        <v>16</v>
      </c>
      <c r="BA3" s="120"/>
      <c r="BB3" s="119" t="s">
        <v>17</v>
      </c>
      <c r="BC3" s="120"/>
      <c r="BD3" s="119" t="s">
        <v>18</v>
      </c>
      <c r="BE3" s="120"/>
      <c r="BF3" s="119" t="s">
        <v>288</v>
      </c>
      <c r="BG3" s="120"/>
      <c r="BH3" s="119" t="s">
        <v>289</v>
      </c>
      <c r="BI3" s="120"/>
      <c r="BJ3" s="119" t="s">
        <v>19</v>
      </c>
      <c r="BK3" s="120"/>
      <c r="BL3" s="119" t="s">
        <v>20</v>
      </c>
      <c r="BM3" s="120"/>
      <c r="BN3" s="121" t="s">
        <v>21</v>
      </c>
      <c r="BO3" s="122"/>
    </row>
    <row r="4" spans="1:67" s="59" customFormat="1" ht="30" x14ac:dyDescent="0.25">
      <c r="A4" s="56"/>
      <c r="B4" s="57" t="s">
        <v>296</v>
      </c>
      <c r="C4" s="58" t="s">
        <v>297</v>
      </c>
      <c r="D4" s="57" t="s">
        <v>296</v>
      </c>
      <c r="E4" s="58" t="s">
        <v>297</v>
      </c>
      <c r="F4" s="57" t="s">
        <v>296</v>
      </c>
      <c r="G4" s="58" t="s">
        <v>297</v>
      </c>
      <c r="H4" s="57" t="s">
        <v>296</v>
      </c>
      <c r="I4" s="58" t="s">
        <v>297</v>
      </c>
      <c r="J4" s="57" t="s">
        <v>296</v>
      </c>
      <c r="K4" s="58" t="s">
        <v>297</v>
      </c>
      <c r="L4" s="57" t="s">
        <v>296</v>
      </c>
      <c r="M4" s="58" t="s">
        <v>297</v>
      </c>
      <c r="N4" s="57" t="s">
        <v>296</v>
      </c>
      <c r="O4" s="58" t="s">
        <v>297</v>
      </c>
      <c r="P4" s="57" t="s">
        <v>296</v>
      </c>
      <c r="Q4" s="58" t="s">
        <v>297</v>
      </c>
      <c r="R4" s="57" t="s">
        <v>296</v>
      </c>
      <c r="S4" s="58" t="s">
        <v>297</v>
      </c>
      <c r="T4" s="57" t="s">
        <v>296</v>
      </c>
      <c r="U4" s="58" t="s">
        <v>297</v>
      </c>
      <c r="V4" s="57" t="s">
        <v>296</v>
      </c>
      <c r="W4" s="58" t="s">
        <v>297</v>
      </c>
      <c r="X4" s="57" t="s">
        <v>296</v>
      </c>
      <c r="Y4" s="58" t="s">
        <v>297</v>
      </c>
      <c r="Z4" s="57" t="s">
        <v>296</v>
      </c>
      <c r="AA4" s="58" t="s">
        <v>297</v>
      </c>
      <c r="AB4" s="57" t="s">
        <v>296</v>
      </c>
      <c r="AC4" s="58" t="s">
        <v>297</v>
      </c>
      <c r="AD4" s="57" t="s">
        <v>296</v>
      </c>
      <c r="AE4" s="58" t="s">
        <v>297</v>
      </c>
      <c r="AF4" s="57" t="s">
        <v>296</v>
      </c>
      <c r="AG4" s="58" t="s">
        <v>297</v>
      </c>
      <c r="AH4" s="57" t="s">
        <v>296</v>
      </c>
      <c r="AI4" s="58" t="s">
        <v>297</v>
      </c>
      <c r="AJ4" s="57" t="s">
        <v>296</v>
      </c>
      <c r="AK4" s="58" t="s">
        <v>297</v>
      </c>
      <c r="AL4" s="57" t="s">
        <v>296</v>
      </c>
      <c r="AM4" s="58" t="s">
        <v>297</v>
      </c>
      <c r="AN4" s="57" t="s">
        <v>296</v>
      </c>
      <c r="AO4" s="58" t="s">
        <v>297</v>
      </c>
      <c r="AP4" s="57" t="s">
        <v>296</v>
      </c>
      <c r="AQ4" s="58" t="s">
        <v>297</v>
      </c>
      <c r="AR4" s="57" t="s">
        <v>296</v>
      </c>
      <c r="AS4" s="58" t="s">
        <v>297</v>
      </c>
      <c r="AT4" s="57" t="s">
        <v>296</v>
      </c>
      <c r="AU4" s="58" t="s">
        <v>297</v>
      </c>
      <c r="AV4" s="57" t="s">
        <v>296</v>
      </c>
      <c r="AW4" s="58" t="s">
        <v>297</v>
      </c>
      <c r="AX4" s="57" t="s">
        <v>296</v>
      </c>
      <c r="AY4" s="58" t="s">
        <v>297</v>
      </c>
      <c r="AZ4" s="57" t="s">
        <v>296</v>
      </c>
      <c r="BA4" s="58" t="s">
        <v>297</v>
      </c>
      <c r="BB4" s="57" t="s">
        <v>296</v>
      </c>
      <c r="BC4" s="58" t="s">
        <v>297</v>
      </c>
      <c r="BD4" s="57" t="s">
        <v>296</v>
      </c>
      <c r="BE4" s="58" t="s">
        <v>297</v>
      </c>
      <c r="BF4" s="57" t="s">
        <v>296</v>
      </c>
      <c r="BG4" s="58" t="s">
        <v>297</v>
      </c>
      <c r="BH4" s="57" t="s">
        <v>296</v>
      </c>
      <c r="BI4" s="58" t="s">
        <v>297</v>
      </c>
      <c r="BJ4" s="57" t="s">
        <v>296</v>
      </c>
      <c r="BK4" s="58" t="s">
        <v>297</v>
      </c>
      <c r="BL4" s="57" t="s">
        <v>296</v>
      </c>
      <c r="BM4" s="58" t="s">
        <v>297</v>
      </c>
      <c r="BN4" s="57" t="s">
        <v>296</v>
      </c>
      <c r="BO4" s="58" t="s">
        <v>297</v>
      </c>
    </row>
    <row r="5" spans="1:67" x14ac:dyDescent="0.25">
      <c r="A5" s="2" t="s">
        <v>22</v>
      </c>
      <c r="B5" s="84">
        <v>564535</v>
      </c>
      <c r="C5" s="84">
        <v>1742233</v>
      </c>
      <c r="D5" s="84">
        <v>3067560</v>
      </c>
      <c r="E5" s="84">
        <v>8472330</v>
      </c>
      <c r="F5" s="103">
        <v>14098614</v>
      </c>
      <c r="G5" s="103">
        <v>68164290</v>
      </c>
      <c r="H5" s="84">
        <v>17943556</v>
      </c>
      <c r="I5" s="84">
        <v>74361302</v>
      </c>
      <c r="J5" s="84">
        <v>4403728</v>
      </c>
      <c r="K5" s="84">
        <v>18338849</v>
      </c>
      <c r="L5" s="84">
        <f>82897+7731052+375160</f>
        <v>8189109</v>
      </c>
      <c r="M5" s="84">
        <f>252231+1231884+30540247</f>
        <v>32024362</v>
      </c>
      <c r="N5" s="103">
        <v>2489204.98</v>
      </c>
      <c r="O5" s="103">
        <v>8273063.5700000003</v>
      </c>
      <c r="P5" s="84">
        <v>423386</v>
      </c>
      <c r="Q5" s="84">
        <v>1624906</v>
      </c>
      <c r="R5" s="84">
        <v>5729070</v>
      </c>
      <c r="S5" s="84">
        <v>21823271</v>
      </c>
      <c r="T5" s="84">
        <v>5733542</v>
      </c>
      <c r="U5" s="84">
        <v>19436886</v>
      </c>
      <c r="V5" s="84">
        <v>15743359</v>
      </c>
      <c r="W5" s="84">
        <v>64055806</v>
      </c>
      <c r="X5" s="84">
        <v>26162194</v>
      </c>
      <c r="Y5" s="84">
        <v>100139940</v>
      </c>
      <c r="Z5" s="84">
        <f>218234+12399697+239308</f>
        <v>12857239</v>
      </c>
      <c r="AA5" s="84">
        <f>755364+47400555+831674</f>
        <v>48987593</v>
      </c>
      <c r="AB5" s="84">
        <v>1065460</v>
      </c>
      <c r="AC5" s="84">
        <v>3893125</v>
      </c>
      <c r="AD5" s="84">
        <f>81118+45963+2916546</f>
        <v>3043627</v>
      </c>
      <c r="AE5" s="84">
        <f>11981437+226428+181062</f>
        <v>12388927</v>
      </c>
      <c r="AF5" s="84">
        <v>1916354</v>
      </c>
      <c r="AG5" s="84">
        <v>7616974</v>
      </c>
      <c r="AH5" s="103">
        <v>1838110</v>
      </c>
      <c r="AI5" s="103">
        <v>6313667</v>
      </c>
      <c r="AJ5" s="84">
        <v>3860699</v>
      </c>
      <c r="AK5" s="84">
        <v>11508667</v>
      </c>
      <c r="AL5" s="84">
        <v>28007151</v>
      </c>
      <c r="AM5" s="84">
        <v>112414832</v>
      </c>
      <c r="AN5" s="84">
        <v>193522</v>
      </c>
      <c r="AO5" s="84">
        <v>883852</v>
      </c>
      <c r="AP5" s="84">
        <v>555105</v>
      </c>
      <c r="AQ5" s="84">
        <v>1829017</v>
      </c>
      <c r="AR5" s="84">
        <f>-26427+747514+8536317</f>
        <v>9257404</v>
      </c>
      <c r="AS5" s="84">
        <f>108235+2436483+34066413</f>
        <v>36611131</v>
      </c>
      <c r="AT5" s="84">
        <v>5680331</v>
      </c>
      <c r="AU5" s="84">
        <v>17294695</v>
      </c>
      <c r="AV5" s="84">
        <f>47449+4936665+155335</f>
        <v>5139449</v>
      </c>
      <c r="AW5" s="84">
        <f>196551+20404493+550965</f>
        <v>21152009</v>
      </c>
      <c r="AX5" s="84">
        <v>9793566</v>
      </c>
      <c r="AY5" s="84">
        <v>34905824</v>
      </c>
      <c r="AZ5" s="84">
        <v>5016252</v>
      </c>
      <c r="BA5" s="84">
        <v>21417731</v>
      </c>
      <c r="BB5" s="84">
        <v>6638162</v>
      </c>
      <c r="BC5" s="84">
        <v>46266309</v>
      </c>
      <c r="BD5" s="103">
        <v>13353124</v>
      </c>
      <c r="BE5" s="103">
        <v>49354326</v>
      </c>
      <c r="BF5" s="84">
        <f>1065871+60118081+8417501</f>
        <v>69601453</v>
      </c>
      <c r="BG5" s="84">
        <f>4205970+227972359+30158900</f>
        <v>262337229</v>
      </c>
      <c r="BH5" s="103">
        <f>27584865+472237+1532598</f>
        <v>29589700</v>
      </c>
      <c r="BI5" s="103">
        <f>2029232+7358823+100981772</f>
        <v>110369827</v>
      </c>
      <c r="BJ5" s="103">
        <v>40062919</v>
      </c>
      <c r="BK5" s="103">
        <v>139079335</v>
      </c>
      <c r="BL5" s="103">
        <v>1627390</v>
      </c>
      <c r="BM5" s="103">
        <v>13113520</v>
      </c>
      <c r="BN5" s="72">
        <f>B5+D5+F5+H5+J5+L5+N5+P5+R5+T5+V5+X5+Z5+AB5+AD5+AF5+AH5+AJ5+AL5+AN5+AP5+AR5+AT5+AV5+AX5+AZ5+BB5+BD5+BF5+BH5+BJ5+BL5</f>
        <v>353644874.98000002</v>
      </c>
      <c r="BO5" s="72">
        <f>C5+E5+G5+I5+K5+M5+O5+Q5+S5+U5+W5+Y5+AA5+AC5+AE5+AG5+AI5+AK5+AM5+AO5+AQ5+AS5+AU5+AW5+AY5+BA5+BC5+BE5+BG5+BI5+BK5+BM5</f>
        <v>1376195828.5699999</v>
      </c>
    </row>
    <row r="6" spans="1:67" ht="30" x14ac:dyDescent="0.25">
      <c r="A6" s="2" t="s">
        <v>23</v>
      </c>
      <c r="B6" s="84">
        <v>12500</v>
      </c>
      <c r="C6" s="84">
        <v>48918</v>
      </c>
      <c r="D6" s="84">
        <v>37566</v>
      </c>
      <c r="E6" s="84">
        <v>133599</v>
      </c>
      <c r="F6" s="103">
        <v>599531</v>
      </c>
      <c r="G6" s="103">
        <v>693789</v>
      </c>
      <c r="H6" s="84">
        <v>123051</v>
      </c>
      <c r="I6" s="84">
        <v>1648954</v>
      </c>
      <c r="J6" s="84">
        <v>20964</v>
      </c>
      <c r="K6" s="84">
        <v>417841</v>
      </c>
      <c r="L6" s="84">
        <f>355+133626+6506</f>
        <v>140487</v>
      </c>
      <c r="M6" s="84">
        <f>3181+1191965+45223</f>
        <v>1240369</v>
      </c>
      <c r="N6" s="103">
        <f>-42366.2+384311.01</f>
        <v>341944.81</v>
      </c>
      <c r="O6" s="103">
        <f>-302569.93+1089291.45</f>
        <v>786721.52</v>
      </c>
      <c r="P6" s="84">
        <v>-59619</v>
      </c>
      <c r="Q6" s="84">
        <v>32995</v>
      </c>
      <c r="R6" s="84">
        <v>58728</v>
      </c>
      <c r="S6" s="84">
        <v>454654</v>
      </c>
      <c r="T6" s="84">
        <v>23108</v>
      </c>
      <c r="U6" s="84">
        <v>83484</v>
      </c>
      <c r="V6" s="84">
        <v>220647</v>
      </c>
      <c r="W6" s="84">
        <v>1020908</v>
      </c>
      <c r="X6" s="84">
        <v>508910</v>
      </c>
      <c r="Y6" s="84">
        <v>2233593</v>
      </c>
      <c r="Z6" s="84">
        <f>89+27788+260</f>
        <v>28137</v>
      </c>
      <c r="AA6" s="84">
        <f>4272+405787+7612</f>
        <v>417671</v>
      </c>
      <c r="AB6" s="84">
        <v>5922</v>
      </c>
      <c r="AC6" s="84">
        <v>120550</v>
      </c>
      <c r="AD6" s="84">
        <f>116+127+2597</f>
        <v>2840</v>
      </c>
      <c r="AE6" s="84">
        <f>1245+4029+54228</f>
        <v>59502</v>
      </c>
      <c r="AF6" s="84">
        <v>37572</v>
      </c>
      <c r="AG6" s="84">
        <v>328657</v>
      </c>
      <c r="AH6" s="103">
        <v>72480</v>
      </c>
      <c r="AI6" s="84">
        <f>103700-196402</f>
        <v>-92702</v>
      </c>
      <c r="AJ6" s="84">
        <v>10589</v>
      </c>
      <c r="AK6" s="84">
        <v>22366</v>
      </c>
      <c r="AL6" s="84">
        <v>2740778</v>
      </c>
      <c r="AM6" s="84">
        <v>10508402</v>
      </c>
      <c r="AN6" s="84">
        <v>19293</v>
      </c>
      <c r="AO6" s="84">
        <v>46947</v>
      </c>
      <c r="AP6" s="84">
        <v>5879</v>
      </c>
      <c r="AQ6" s="84">
        <v>20620</v>
      </c>
      <c r="AR6" s="84">
        <f>1756+5719+232524</f>
        <v>239999</v>
      </c>
      <c r="AS6" s="84">
        <f>6064+61572+1754934</f>
        <v>1822570</v>
      </c>
      <c r="AT6" s="84">
        <v>8601</v>
      </c>
      <c r="AU6" s="84">
        <v>19827</v>
      </c>
      <c r="AV6" s="84">
        <f>985+181346+5473</f>
        <v>187804</v>
      </c>
      <c r="AW6" s="84">
        <f>2817+487119+15311</f>
        <v>505247</v>
      </c>
      <c r="AX6" s="84">
        <v>52014</v>
      </c>
      <c r="AY6" s="84">
        <v>630768</v>
      </c>
      <c r="AZ6" s="84">
        <v>306468</v>
      </c>
      <c r="BA6" s="84">
        <v>987178</v>
      </c>
      <c r="BB6" s="84">
        <v>11846</v>
      </c>
      <c r="BC6" s="84">
        <v>19856</v>
      </c>
      <c r="BD6" s="103">
        <v>-198244</v>
      </c>
      <c r="BE6" s="103">
        <v>1152243</v>
      </c>
      <c r="BF6" s="84">
        <f>155362+7529719+1165640</f>
        <v>8850721</v>
      </c>
      <c r="BG6" s="84">
        <f>351418+17031677+2636592</f>
        <v>20019687</v>
      </c>
      <c r="BH6" s="103">
        <f>34475+2294544+143968</f>
        <v>2472987</v>
      </c>
      <c r="BI6" s="103">
        <f>124335+511072+6663491</f>
        <v>7298898</v>
      </c>
      <c r="BJ6" s="103">
        <v>1437721</v>
      </c>
      <c r="BK6" s="103">
        <v>6016321</v>
      </c>
      <c r="BL6" s="103">
        <v>93468</v>
      </c>
      <c r="BM6" s="103">
        <v>42389</v>
      </c>
      <c r="BN6" s="72">
        <f t="shared" ref="BN6:BN8" si="0">B6+D6+F6+H6+J6+L6+N6+P6+R6+T6+V6+X6+Z6+AB6+AD6+AF6+AH6+AJ6+AL6+AN6+AP6+AR6+AT6+AV6+AX6+AZ6+BB6+BD6+BF6+BH6+BJ6+BL6</f>
        <v>18414692.810000002</v>
      </c>
      <c r="BO6" s="72">
        <f t="shared" ref="BO6:BO8" si="1">C6+E6+G6+I6+K6+M6+O6+Q6+S6+U6+W6+Y6+AA6+AC6+AE6+AG6+AI6+AK6+AM6+AO6+AQ6+AS6+AU6+AW6+AY6+BA6+BC6+BE6+BG6+BI6+BK6+BM6</f>
        <v>58742822.519999996</v>
      </c>
    </row>
    <row r="7" spans="1:67" x14ac:dyDescent="0.25">
      <c r="A7" s="2" t="s">
        <v>24</v>
      </c>
      <c r="B7" s="84">
        <f t="shared" ref="B7" si="2">B9-B8-B6-B5</f>
        <v>0</v>
      </c>
      <c r="C7" s="84">
        <f t="shared" ref="C7:K7" si="3">C9-C8-C6-C5</f>
        <v>0</v>
      </c>
      <c r="D7" s="84">
        <f t="shared" si="3"/>
        <v>-9998</v>
      </c>
      <c r="E7" s="84">
        <f t="shared" si="3"/>
        <v>-29561</v>
      </c>
      <c r="F7" s="84">
        <f t="shared" si="3"/>
        <v>45037</v>
      </c>
      <c r="G7" s="84">
        <f t="shared" si="3"/>
        <v>402282</v>
      </c>
      <c r="H7" s="84">
        <f t="shared" si="3"/>
        <v>382839</v>
      </c>
      <c r="I7" s="84">
        <f t="shared" si="3"/>
        <v>515365</v>
      </c>
      <c r="J7" s="84">
        <f t="shared" si="3"/>
        <v>2897929</v>
      </c>
      <c r="K7" s="84">
        <f t="shared" si="3"/>
        <v>2849592</v>
      </c>
      <c r="L7" s="84">
        <f t="shared" ref="L7:BM7" si="4">L9-L8-L6-L5</f>
        <v>602952</v>
      </c>
      <c r="M7" s="84">
        <f t="shared" si="4"/>
        <v>1567582</v>
      </c>
      <c r="N7" s="84">
        <f t="shared" si="4"/>
        <v>3791.2400000002235</v>
      </c>
      <c r="O7" s="84">
        <f t="shared" si="4"/>
        <v>11074.599999999627</v>
      </c>
      <c r="P7" s="84">
        <f t="shared" si="4"/>
        <v>841</v>
      </c>
      <c r="Q7" s="84">
        <f t="shared" si="4"/>
        <v>2923</v>
      </c>
      <c r="R7" s="84">
        <f t="shared" si="4"/>
        <v>57994</v>
      </c>
      <c r="S7" s="84">
        <f t="shared" si="4"/>
        <v>60844</v>
      </c>
      <c r="T7" s="84">
        <f t="shared" si="4"/>
        <v>2</v>
      </c>
      <c r="U7" s="84">
        <f t="shared" si="4"/>
        <v>-15</v>
      </c>
      <c r="V7" s="84">
        <f t="shared" si="4"/>
        <v>24248</v>
      </c>
      <c r="W7" s="84">
        <f t="shared" si="4"/>
        <v>118833</v>
      </c>
      <c r="X7" s="84">
        <f t="shared" si="4"/>
        <v>4533726</v>
      </c>
      <c r="Y7" s="84">
        <f t="shared" ref="Y7" si="5">Y9-Y8-Y6-Y5</f>
        <v>4831381</v>
      </c>
      <c r="Z7" s="84">
        <f t="shared" si="4"/>
        <v>-7697</v>
      </c>
      <c r="AA7" s="84">
        <f t="shared" ref="AA7" si="6">AA9-AA8-AA6-AA5</f>
        <v>-16206</v>
      </c>
      <c r="AB7" s="84">
        <f t="shared" si="4"/>
        <v>11</v>
      </c>
      <c r="AC7" s="84">
        <f t="shared" ref="AC7" si="7">AC9-AC8-AC6-AC5</f>
        <v>589</v>
      </c>
      <c r="AD7" s="84">
        <f t="shared" si="4"/>
        <v>1579300</v>
      </c>
      <c r="AE7" s="84">
        <f t="shared" ref="AE7" si="8">AE9-AE8-AE6-AE5</f>
        <v>1579300</v>
      </c>
      <c r="AF7" s="84">
        <f t="shared" si="4"/>
        <v>20219</v>
      </c>
      <c r="AG7" s="84">
        <f t="shared" si="4"/>
        <v>90555</v>
      </c>
      <c r="AH7" s="84">
        <f t="shared" si="4"/>
        <v>1528823</v>
      </c>
      <c r="AI7" s="84">
        <f t="shared" si="4"/>
        <v>1528823</v>
      </c>
      <c r="AJ7" s="84">
        <f t="shared" si="4"/>
        <v>681364</v>
      </c>
      <c r="AK7" s="84">
        <f t="shared" si="4"/>
        <v>1738698</v>
      </c>
      <c r="AL7" s="84">
        <f t="shared" si="4"/>
        <v>3605358.8021761924</v>
      </c>
      <c r="AM7" s="84">
        <f t="shared" ref="AM7" si="9">AM9-AM8-AM6-AM5</f>
        <v>3605358.6737402081</v>
      </c>
      <c r="AN7" s="84">
        <f t="shared" si="4"/>
        <v>-1014</v>
      </c>
      <c r="AO7" s="84">
        <f t="shared" ref="AO7" si="10">AO9-AO8-AO6-AO5</f>
        <v>0</v>
      </c>
      <c r="AP7" s="84">
        <f t="shared" si="4"/>
        <v>96816</v>
      </c>
      <c r="AQ7" s="84">
        <f t="shared" si="4"/>
        <v>425247</v>
      </c>
      <c r="AR7" s="84">
        <f t="shared" si="4"/>
        <v>1296874</v>
      </c>
      <c r="AS7" s="84">
        <f t="shared" si="4"/>
        <v>2661390</v>
      </c>
      <c r="AT7" s="84">
        <f t="shared" si="4"/>
        <v>2402144</v>
      </c>
      <c r="AU7" s="84">
        <f t="shared" si="4"/>
        <v>2402144</v>
      </c>
      <c r="AV7" s="84">
        <f t="shared" si="4"/>
        <v>13947</v>
      </c>
      <c r="AW7" s="84">
        <f t="shared" si="4"/>
        <v>65394</v>
      </c>
      <c r="AX7" s="84">
        <f t="shared" si="4"/>
        <v>15521</v>
      </c>
      <c r="AY7" s="84">
        <f t="shared" si="4"/>
        <v>37446</v>
      </c>
      <c r="AZ7" s="84">
        <f t="shared" si="4"/>
        <v>-13029</v>
      </c>
      <c r="BA7" s="84">
        <f t="shared" ref="BA7" si="11">BA9-BA8-BA6-BA5</f>
        <v>-38085</v>
      </c>
      <c r="BB7" s="84">
        <f t="shared" si="4"/>
        <v>0</v>
      </c>
      <c r="BC7" s="84">
        <f t="shared" si="4"/>
        <v>0</v>
      </c>
      <c r="BD7" s="84">
        <f t="shared" si="4"/>
        <v>17594</v>
      </c>
      <c r="BE7" s="84">
        <f t="shared" ref="BE7" si="12">BE9-BE8-BE6-BE5</f>
        <v>75939</v>
      </c>
      <c r="BF7" s="84">
        <f t="shared" si="4"/>
        <v>733082</v>
      </c>
      <c r="BG7" s="84">
        <f t="shared" si="4"/>
        <v>733081</v>
      </c>
      <c r="BH7" s="84">
        <f t="shared" ref="BH7:BI7" si="13">BH9-BH8-BH6-BH5</f>
        <v>2294496</v>
      </c>
      <c r="BI7" s="84">
        <f t="shared" si="13"/>
        <v>1507169</v>
      </c>
      <c r="BJ7" s="84">
        <f t="shared" si="4"/>
        <v>1418464</v>
      </c>
      <c r="BK7" s="84">
        <f t="shared" ref="BK7" si="14">BK9-BK8-BK6-BK5</f>
        <v>1426517</v>
      </c>
      <c r="BL7" s="84">
        <f t="shared" si="4"/>
        <v>-62531</v>
      </c>
      <c r="BM7" s="84">
        <f t="shared" si="4"/>
        <v>-169982</v>
      </c>
      <c r="BN7" s="72">
        <f t="shared" si="0"/>
        <v>24159104.042176194</v>
      </c>
      <c r="BO7" s="72">
        <f t="shared" si="1"/>
        <v>27983678.27374021</v>
      </c>
    </row>
    <row r="8" spans="1:67" x14ac:dyDescent="0.25">
      <c r="A8" s="2" t="s">
        <v>25</v>
      </c>
      <c r="B8" s="84">
        <v>45453</v>
      </c>
      <c r="C8" s="84">
        <v>165729</v>
      </c>
      <c r="D8" s="76">
        <v>139689</v>
      </c>
      <c r="E8" s="84">
        <v>516638</v>
      </c>
      <c r="F8" s="103">
        <v>1473113</v>
      </c>
      <c r="G8" s="103">
        <v>4386851</v>
      </c>
      <c r="H8" s="84">
        <v>2604586</v>
      </c>
      <c r="I8" s="84">
        <v>10284023</v>
      </c>
      <c r="J8" s="84">
        <v>730533</v>
      </c>
      <c r="K8" s="84">
        <v>3139808</v>
      </c>
      <c r="L8" s="84">
        <f>3866+1451115+60735</f>
        <v>1515716</v>
      </c>
      <c r="M8" s="84">
        <f>15048+5638358+213918</f>
        <v>5867324</v>
      </c>
      <c r="N8" s="103">
        <v>1284164.42</v>
      </c>
      <c r="O8" s="103">
        <v>4984264.58</v>
      </c>
      <c r="P8" s="84">
        <v>31765</v>
      </c>
      <c r="Q8" s="84">
        <v>190821</v>
      </c>
      <c r="R8" s="84">
        <v>735758</v>
      </c>
      <c r="S8" s="84">
        <v>2882920</v>
      </c>
      <c r="T8" s="84">
        <v>619261</v>
      </c>
      <c r="U8" s="84">
        <v>2330103</v>
      </c>
      <c r="V8" s="84">
        <v>2243144</v>
      </c>
      <c r="W8" s="84">
        <v>8519289</v>
      </c>
      <c r="X8" s="84">
        <v>3689158</v>
      </c>
      <c r="Y8" s="84">
        <v>14408847</v>
      </c>
      <c r="Z8" s="84">
        <f>12604+1408315+23570</f>
        <v>1444489</v>
      </c>
      <c r="AA8" s="84">
        <f>58206+5528704+103708</f>
        <v>5690618</v>
      </c>
      <c r="AB8" s="84">
        <v>112453</v>
      </c>
      <c r="AC8" s="84">
        <v>397717</v>
      </c>
      <c r="AD8" s="84">
        <f>10015+18418+386783</f>
        <v>415216</v>
      </c>
      <c r="AE8" s="84">
        <f>32709+86950+1423783</f>
        <v>1543442</v>
      </c>
      <c r="AF8" s="84">
        <v>414940</v>
      </c>
      <c r="AG8" s="84">
        <v>1544187</v>
      </c>
      <c r="AH8" s="103">
        <v>67781</v>
      </c>
      <c r="AI8" s="103">
        <v>274552</v>
      </c>
      <c r="AJ8" s="84">
        <v>154804</v>
      </c>
      <c r="AK8" s="84">
        <v>565620</v>
      </c>
      <c r="AL8" s="84">
        <v>4713849</v>
      </c>
      <c r="AM8" s="84">
        <v>16727463</v>
      </c>
      <c r="AN8" s="84">
        <v>54908</v>
      </c>
      <c r="AO8" s="84">
        <v>166916</v>
      </c>
      <c r="AP8" s="84">
        <v>53409</v>
      </c>
      <c r="AQ8" s="84">
        <v>254500</v>
      </c>
      <c r="AR8" s="84">
        <f>8847+49125+1633955</f>
        <v>1691927</v>
      </c>
      <c r="AS8" s="84">
        <f>23340+236992+6754747</f>
        <v>7015079</v>
      </c>
      <c r="AT8" s="84">
        <v>275511</v>
      </c>
      <c r="AU8" s="84">
        <v>1039661</v>
      </c>
      <c r="AV8" s="84">
        <f>4213+813671+23804</f>
        <v>841688</v>
      </c>
      <c r="AW8" s="84">
        <f>18467+3193163+100366</f>
        <v>3311996</v>
      </c>
      <c r="AX8" s="84">
        <v>1116708</v>
      </c>
      <c r="AY8" s="84">
        <v>4304167</v>
      </c>
      <c r="AZ8" s="84">
        <v>1569495</v>
      </c>
      <c r="BA8" s="84">
        <v>5987461</v>
      </c>
      <c r="BB8" s="84">
        <v>836110</v>
      </c>
      <c r="BC8" s="84">
        <v>2485409</v>
      </c>
      <c r="BD8" s="103">
        <v>2212864</v>
      </c>
      <c r="BE8" s="103">
        <v>8005250</v>
      </c>
      <c r="BF8" s="84">
        <f>118872+5761192+891862</f>
        <v>6771926</v>
      </c>
      <c r="BG8" s="84">
        <f>460149+22301358+3452366</f>
        <v>26213873</v>
      </c>
      <c r="BH8" s="103">
        <f>61529+258292+4360544</f>
        <v>4680365</v>
      </c>
      <c r="BI8" s="103">
        <f>275253+1131414+14751683</f>
        <v>16158350</v>
      </c>
      <c r="BJ8" s="103">
        <v>4819728</v>
      </c>
      <c r="BK8" s="103">
        <v>18548797</v>
      </c>
      <c r="BL8" s="103">
        <v>683051</v>
      </c>
      <c r="BM8" s="103">
        <v>2254508</v>
      </c>
      <c r="BN8" s="72">
        <f t="shared" si="0"/>
        <v>48043562.420000002</v>
      </c>
      <c r="BO8" s="72">
        <f t="shared" si="1"/>
        <v>180166183.57999998</v>
      </c>
    </row>
    <row r="9" spans="1:67" s="7" customFormat="1" x14ac:dyDescent="0.25">
      <c r="A9" s="3" t="s">
        <v>26</v>
      </c>
      <c r="B9" s="10">
        <v>622488</v>
      </c>
      <c r="C9" s="10">
        <v>1956880</v>
      </c>
      <c r="D9" s="10">
        <v>3234817</v>
      </c>
      <c r="E9" s="10">
        <v>9093006</v>
      </c>
      <c r="F9" s="10">
        <v>16216295</v>
      </c>
      <c r="G9" s="10">
        <v>73647212</v>
      </c>
      <c r="H9" s="10">
        <v>21054032</v>
      </c>
      <c r="I9" s="10">
        <v>86809644</v>
      </c>
      <c r="J9" s="10">
        <v>8053154</v>
      </c>
      <c r="K9" s="10">
        <v>24746090</v>
      </c>
      <c r="L9" s="10">
        <f>87412+9904023+456829</f>
        <v>10448264</v>
      </c>
      <c r="M9" s="10">
        <f>271227+38858056+1570354</f>
        <v>40699637</v>
      </c>
      <c r="N9" s="10">
        <v>4119105.45</v>
      </c>
      <c r="O9" s="10">
        <v>14055124.27</v>
      </c>
      <c r="P9" s="10">
        <v>396373</v>
      </c>
      <c r="Q9" s="10">
        <v>1851645</v>
      </c>
      <c r="R9" s="10">
        <v>6581550</v>
      </c>
      <c r="S9" s="10">
        <v>25221689</v>
      </c>
      <c r="T9" s="10">
        <v>6375913</v>
      </c>
      <c r="U9" s="10">
        <v>21850458</v>
      </c>
      <c r="V9" s="10">
        <v>18231398</v>
      </c>
      <c r="W9" s="10">
        <v>73714836</v>
      </c>
      <c r="X9" s="10">
        <v>34893988</v>
      </c>
      <c r="Y9" s="10">
        <v>121613761</v>
      </c>
      <c r="Z9" s="10">
        <f>230706+13833352+258110</f>
        <v>14322168</v>
      </c>
      <c r="AA9" s="10">
        <f>816870+53333184+929622</f>
        <v>55079676</v>
      </c>
      <c r="AB9" s="10">
        <v>1183846</v>
      </c>
      <c r="AC9" s="10">
        <v>4411981</v>
      </c>
      <c r="AD9" s="10">
        <f>141149+64508+4835326</f>
        <v>5040983</v>
      </c>
      <c r="AE9" s="10">
        <f>310282+272041+14988848</f>
        <v>15571171</v>
      </c>
      <c r="AF9" s="10">
        <v>2389085</v>
      </c>
      <c r="AG9" s="10">
        <v>9580373</v>
      </c>
      <c r="AH9" s="10">
        <v>3507194</v>
      </c>
      <c r="AI9" s="10">
        <v>8024340</v>
      </c>
      <c r="AJ9" s="10">
        <v>4707456</v>
      </c>
      <c r="AK9" s="10">
        <v>13835351</v>
      </c>
      <c r="AL9" s="10">
        <v>39067136.802176192</v>
      </c>
      <c r="AM9" s="10">
        <v>143256055.67374021</v>
      </c>
      <c r="AN9" s="10">
        <v>266709</v>
      </c>
      <c r="AO9" s="10">
        <v>1097715</v>
      </c>
      <c r="AP9" s="10">
        <v>711209</v>
      </c>
      <c r="AQ9" s="10">
        <v>2529384</v>
      </c>
      <c r="AR9" s="10">
        <f>-15824+817170+11684858</f>
        <v>12486204</v>
      </c>
      <c r="AS9" s="10">
        <f>137651+2789792+45182727</f>
        <v>48110170</v>
      </c>
      <c r="AT9" s="10">
        <v>8366587</v>
      </c>
      <c r="AU9" s="10">
        <v>20756327</v>
      </c>
      <c r="AV9" s="10">
        <f>52697+5935025+195166</f>
        <v>6182888</v>
      </c>
      <c r="AW9" s="10">
        <f>218059+24099056+717531</f>
        <v>25034646</v>
      </c>
      <c r="AX9" s="10">
        <v>10977809</v>
      </c>
      <c r="AY9" s="10">
        <v>39878205</v>
      </c>
      <c r="AZ9" s="10">
        <v>6879186</v>
      </c>
      <c r="BA9" s="10">
        <v>28354285</v>
      </c>
      <c r="BB9" s="10">
        <v>7486118</v>
      </c>
      <c r="BC9" s="10">
        <v>48771574</v>
      </c>
      <c r="BD9" s="10">
        <v>15385338</v>
      </c>
      <c r="BE9" s="10">
        <v>58587758</v>
      </c>
      <c r="BF9" s="10">
        <f>1340106+74142072+10475004</f>
        <v>85957182</v>
      </c>
      <c r="BG9" s="10">
        <f>5017537+268038475+36247858</f>
        <v>309303870</v>
      </c>
      <c r="BH9" s="10">
        <f>879745+35398503+2759300</f>
        <v>39037548</v>
      </c>
      <c r="BI9" s="10">
        <f>2718119+9766226+122849899</f>
        <v>135334244</v>
      </c>
      <c r="BJ9" s="10">
        <v>47738832</v>
      </c>
      <c r="BK9" s="10">
        <v>165070970</v>
      </c>
      <c r="BL9" s="10">
        <v>2341378</v>
      </c>
      <c r="BM9" s="10">
        <v>15240435</v>
      </c>
      <c r="BN9" s="68">
        <f>B9+D9+F9+H9+J9+L9+N9+P9+R9+T9+V9+X9+Z9+AB9+AD9+AF9+AH9+AJ9+AL9+AN9+AP9+AR9+AT9+AV9+AX9+AZ9+BB9+BD9+BF9+BH9+BJ9+BL9</f>
        <v>444262234.25217617</v>
      </c>
      <c r="BO9" s="68">
        <f>C9+E9+G9+I9+K9+M9+O9+Q9+S9+U9+W9+Y9+AA9+AC9+AE9+AG9+AI9+AK9+AM9+AO9+AQ9+AS9+AU9+AW9+AY9+BA9+BC9+BE9+BG9+BI9+BK9+BM9</f>
        <v>1643088512.9437401</v>
      </c>
    </row>
    <row r="10" spans="1:67" x14ac:dyDescent="0.25">
      <c r="A10" s="2" t="s">
        <v>27</v>
      </c>
      <c r="B10" s="84">
        <v>484126</v>
      </c>
      <c r="C10" s="84">
        <v>1425659</v>
      </c>
      <c r="D10" s="84">
        <v>1567783</v>
      </c>
      <c r="E10" s="84">
        <v>4235677</v>
      </c>
      <c r="F10" s="103">
        <v>12414380</v>
      </c>
      <c r="G10" s="103">
        <v>62967676</v>
      </c>
      <c r="H10" s="84">
        <v>11535110</v>
      </c>
      <c r="I10" s="84">
        <v>50902291</v>
      </c>
      <c r="J10" s="84">
        <v>2351607</v>
      </c>
      <c r="K10" s="84">
        <v>11595397</v>
      </c>
      <c r="L10" s="84">
        <f>58638+5783271+53900</f>
        <v>5895809</v>
      </c>
      <c r="M10" s="84">
        <f>185438+22596259+416580</f>
        <v>23198277</v>
      </c>
      <c r="N10" s="103">
        <v>2082534.95</v>
      </c>
      <c r="O10" s="103">
        <v>8845205.4900000002</v>
      </c>
      <c r="P10" s="84">
        <v>420602</v>
      </c>
      <c r="Q10" s="84">
        <v>1657614</v>
      </c>
      <c r="R10" s="84">
        <v>3521902</v>
      </c>
      <c r="S10" s="84">
        <v>14487979</v>
      </c>
      <c r="T10" s="84">
        <v>4468203</v>
      </c>
      <c r="U10" s="84">
        <v>14389643</v>
      </c>
      <c r="V10" s="84">
        <v>11926710</v>
      </c>
      <c r="W10" s="84">
        <v>48520486</v>
      </c>
      <c r="X10" s="84">
        <v>18749148</v>
      </c>
      <c r="Y10" s="84">
        <v>68708133</v>
      </c>
      <c r="Z10" s="84">
        <f>143501+10992833+62666</f>
        <v>11199000</v>
      </c>
      <c r="AA10" s="84">
        <f>514533+40656387+518692</f>
        <v>41689612</v>
      </c>
      <c r="AB10" s="84">
        <v>776089</v>
      </c>
      <c r="AC10" s="84">
        <v>2608056</v>
      </c>
      <c r="AD10" s="84">
        <f>46458+19826+1969515</f>
        <v>2035799</v>
      </c>
      <c r="AE10" s="84">
        <f>152109+120660+7591021</f>
        <v>7863790</v>
      </c>
      <c r="AF10" s="84">
        <v>1498652</v>
      </c>
      <c r="AG10" s="84">
        <v>6066042</v>
      </c>
      <c r="AH10" s="103">
        <v>1260347</v>
      </c>
      <c r="AI10" s="103">
        <v>3859547</v>
      </c>
      <c r="AJ10" s="84">
        <v>1888441</v>
      </c>
      <c r="AK10" s="84">
        <v>6455551</v>
      </c>
      <c r="AL10" s="84">
        <v>27261594.491316255</v>
      </c>
      <c r="AM10" s="84">
        <v>96939095.147666708</v>
      </c>
      <c r="AN10" s="84">
        <v>118699</v>
      </c>
      <c r="AO10" s="84">
        <v>563078</v>
      </c>
      <c r="AP10" s="84">
        <v>486474</v>
      </c>
      <c r="AQ10" s="84">
        <v>1590932</v>
      </c>
      <c r="AR10" s="84">
        <f>30925+345465+6608839</f>
        <v>6985229</v>
      </c>
      <c r="AS10" s="84">
        <f>144284+1362930+27627041</f>
        <v>29134255</v>
      </c>
      <c r="AT10" s="84">
        <v>2408306</v>
      </c>
      <c r="AU10" s="84">
        <v>9538163</v>
      </c>
      <c r="AV10" s="84">
        <f>29036+4471163+87970</f>
        <v>4588169</v>
      </c>
      <c r="AW10" s="84">
        <f>93790+16579474+333148</f>
        <v>17006412</v>
      </c>
      <c r="AX10" s="84">
        <v>6462939</v>
      </c>
      <c r="AY10" s="84">
        <v>25867440</v>
      </c>
      <c r="AZ10" s="84">
        <v>3727485</v>
      </c>
      <c r="BA10" s="84">
        <v>16822323</v>
      </c>
      <c r="BB10" s="84">
        <v>13903507</v>
      </c>
      <c r="BC10" s="84">
        <v>43694549</v>
      </c>
      <c r="BD10" s="103">
        <v>8850963</v>
      </c>
      <c r="BE10" s="103">
        <v>33890977</v>
      </c>
      <c r="BF10" s="84">
        <f>1024817+61120287+5792476</f>
        <v>67937580</v>
      </c>
      <c r="BG10" s="84">
        <f>3092676+195439592+22337324</f>
        <v>220869592</v>
      </c>
      <c r="BH10" s="103">
        <f>32645+29604206+198536</f>
        <v>29835387</v>
      </c>
      <c r="BI10" s="103">
        <f>1562497+99707504+3946941</f>
        <v>105216942</v>
      </c>
      <c r="BJ10" s="103">
        <v>34003787</v>
      </c>
      <c r="BK10" s="103">
        <v>123021125</v>
      </c>
      <c r="BL10" s="103">
        <v>2508050</v>
      </c>
      <c r="BM10" s="103">
        <v>11859392</v>
      </c>
      <c r="BN10" s="72">
        <f t="shared" ref="BN10:BN15" si="15">B10+D10+F10+H10+J10+L10+N10+P10+R10+T10+V10+X10+Z10+AB10+AD10+AF10+AH10+AJ10+AL10+AN10+AP10+AR10+AT10+AV10+AX10+AZ10+BB10+BD10+BF10+BH10+BJ10+BL10</f>
        <v>303154412.44131625</v>
      </c>
      <c r="BO10" s="72">
        <f t="shared" ref="BO10:BO15" si="16">C10+E10+G10+I10+K10+M10+O10+Q10+S10+U10+W10+Y10+AA10+AC10+AE10+AG10+AI10+AK10+AM10+AO10+AQ10+AS10+AU10+AW10+AY10+BA10+BC10+BE10+BG10+BI10+BK10+BM10</f>
        <v>1115490910.6376667</v>
      </c>
    </row>
    <row r="11" spans="1:67" x14ac:dyDescent="0.25">
      <c r="A11" s="2" t="s">
        <v>28</v>
      </c>
      <c r="B11" s="84">
        <v>-29265</v>
      </c>
      <c r="C11" s="84">
        <v>-104596</v>
      </c>
      <c r="D11" s="84">
        <v>37738</v>
      </c>
      <c r="E11" s="84">
        <v>494930</v>
      </c>
      <c r="F11" s="103">
        <v>-187051</v>
      </c>
      <c r="G11" s="103">
        <v>-1555119</v>
      </c>
      <c r="H11" s="84">
        <v>706800</v>
      </c>
      <c r="I11" s="84">
        <v>493726</v>
      </c>
      <c r="J11" s="84">
        <v>82768</v>
      </c>
      <c r="K11" s="84">
        <v>768912</v>
      </c>
      <c r="L11" s="84">
        <f>-20545+397369-95147</f>
        <v>281677</v>
      </c>
      <c r="M11" s="84">
        <f>-35187+775523-191691</f>
        <v>548645</v>
      </c>
      <c r="N11" s="103">
        <v>-92215.79</v>
      </c>
      <c r="O11" s="103">
        <v>-261985.99</v>
      </c>
      <c r="P11" s="84">
        <v>17454</v>
      </c>
      <c r="Q11" s="84">
        <v>122528</v>
      </c>
      <c r="R11" s="84">
        <v>282260</v>
      </c>
      <c r="S11" s="84">
        <v>829011</v>
      </c>
      <c r="T11" s="84">
        <v>149763</v>
      </c>
      <c r="U11" s="84">
        <v>677673</v>
      </c>
      <c r="V11" s="84">
        <v>-625135</v>
      </c>
      <c r="W11" s="84">
        <v>-1983344</v>
      </c>
      <c r="X11" s="84">
        <v>1097870</v>
      </c>
      <c r="Y11" s="84">
        <v>6009340</v>
      </c>
      <c r="Z11" s="84">
        <f>21852+400758+157366</f>
        <v>579976</v>
      </c>
      <c r="AA11" s="84">
        <f>60893+2443540-372800</f>
        <v>2131633</v>
      </c>
      <c r="AB11" s="84">
        <v>78253</v>
      </c>
      <c r="AC11" s="84">
        <v>293385</v>
      </c>
      <c r="AD11" s="84">
        <f>19726-40099+353426</f>
        <v>333053</v>
      </c>
      <c r="AE11" s="84">
        <f>50349-65521+1262127</f>
        <v>1246955</v>
      </c>
      <c r="AF11" s="84">
        <v>-170154</v>
      </c>
      <c r="AG11" s="84">
        <v>-552524</v>
      </c>
      <c r="AH11" s="103">
        <v>249799</v>
      </c>
      <c r="AI11" s="103">
        <v>821188</v>
      </c>
      <c r="AJ11" s="84">
        <v>289377</v>
      </c>
      <c r="AK11" s="84">
        <v>634807</v>
      </c>
      <c r="AL11" s="84">
        <v>3386392.9793399973</v>
      </c>
      <c r="AM11" s="84">
        <v>9674321.2993599977</v>
      </c>
      <c r="AN11" s="84">
        <v>20684</v>
      </c>
      <c r="AO11" s="84">
        <v>56328</v>
      </c>
      <c r="AP11" s="84">
        <v>119970</v>
      </c>
      <c r="AQ11" s="84">
        <v>334577</v>
      </c>
      <c r="AR11" s="84">
        <f>-1898-305065-349453</f>
        <v>-656416</v>
      </c>
      <c r="AS11" s="84">
        <f>-14832-182974-1603541</f>
        <v>-1801347</v>
      </c>
      <c r="AT11" s="84">
        <v>143620</v>
      </c>
      <c r="AU11" s="84">
        <v>266087</v>
      </c>
      <c r="AV11" s="84">
        <f>10441+403724+569</f>
        <v>414734</v>
      </c>
      <c r="AW11" s="84">
        <f>25084+1433654-53086</f>
        <v>1405652</v>
      </c>
      <c r="AX11" s="84">
        <v>55868</v>
      </c>
      <c r="AY11" s="84">
        <v>-1467990</v>
      </c>
      <c r="AZ11" s="84">
        <v>283933</v>
      </c>
      <c r="BA11" s="84">
        <v>1091768</v>
      </c>
      <c r="BB11" s="84">
        <v>1126024</v>
      </c>
      <c r="BC11" s="84">
        <v>5857620</v>
      </c>
      <c r="BD11" s="103">
        <v>1038947</v>
      </c>
      <c r="BE11" s="103">
        <v>2829596</v>
      </c>
      <c r="BF11" s="84">
        <f>130978+4602873+1493034</f>
        <v>6226885</v>
      </c>
      <c r="BG11" s="84">
        <f>604202+18464057+5597331</f>
        <v>24665590</v>
      </c>
      <c r="BH11" s="103">
        <f>61683+2547689+332996</f>
        <v>2942368</v>
      </c>
      <c r="BI11" s="103">
        <f>204129+1144379+7666665</f>
        <v>9015173</v>
      </c>
      <c r="BJ11" s="103">
        <v>2864285</v>
      </c>
      <c r="BK11" s="103">
        <v>9183305</v>
      </c>
      <c r="BL11" s="103">
        <v>300</v>
      </c>
      <c r="BM11" s="103">
        <v>366826</v>
      </c>
      <c r="BN11" s="72">
        <f t="shared" si="15"/>
        <v>21050562.189339995</v>
      </c>
      <c r="BO11" s="72">
        <f t="shared" si="16"/>
        <v>72092670.309359998</v>
      </c>
    </row>
    <row r="12" spans="1:67" ht="30" x14ac:dyDescent="0.25">
      <c r="A12" s="2" t="s">
        <v>29</v>
      </c>
      <c r="B12" s="84">
        <v>504002</v>
      </c>
      <c r="C12" s="84">
        <v>2088922</v>
      </c>
      <c r="D12" s="84">
        <v>1893626</v>
      </c>
      <c r="E12" s="84">
        <v>6475363</v>
      </c>
      <c r="F12" s="103">
        <v>770597</v>
      </c>
      <c r="G12" s="103">
        <v>2805780</v>
      </c>
      <c r="H12" s="84">
        <v>5636769</v>
      </c>
      <c r="I12" s="84">
        <v>20597713</v>
      </c>
      <c r="J12" s="84">
        <v>2369858</v>
      </c>
      <c r="K12" s="84">
        <v>8101669</v>
      </c>
      <c r="L12" s="84">
        <f>22705+2909376+259700</f>
        <v>3191781</v>
      </c>
      <c r="M12" s="84">
        <f>73936+10541059+533322</f>
        <v>11148317</v>
      </c>
      <c r="N12" s="103">
        <v>1021583.49</v>
      </c>
      <c r="O12" s="103">
        <v>2709257.55</v>
      </c>
      <c r="P12" s="84">
        <v>288607</v>
      </c>
      <c r="Q12" s="84">
        <v>1095456</v>
      </c>
      <c r="R12" s="84">
        <v>2525181</v>
      </c>
      <c r="S12" s="84">
        <v>8619363</v>
      </c>
      <c r="T12" s="84">
        <v>3288472</v>
      </c>
      <c r="U12" s="84">
        <v>8637505</v>
      </c>
      <c r="V12" s="84">
        <v>5849843</v>
      </c>
      <c r="W12" s="84">
        <v>19868937</v>
      </c>
      <c r="X12" s="84">
        <v>7228109</v>
      </c>
      <c r="Y12" s="84">
        <v>27341839</v>
      </c>
      <c r="Z12" s="84">
        <f>32570+2309693+27151</f>
        <v>2369414</v>
      </c>
      <c r="AA12" s="84">
        <f>116322+7598146+109316</f>
        <v>7823784</v>
      </c>
      <c r="AB12" s="84">
        <v>492207</v>
      </c>
      <c r="AC12" s="84">
        <v>1624277</v>
      </c>
      <c r="AD12" s="84">
        <f>20258+45978+1054286</f>
        <v>1120522</v>
      </c>
      <c r="AE12" s="84">
        <f>80377+139231+4660828</f>
        <v>4880436</v>
      </c>
      <c r="AF12" s="84">
        <v>1127425</v>
      </c>
      <c r="AG12" s="84">
        <v>3772888</v>
      </c>
      <c r="AH12" s="103">
        <v>851795</v>
      </c>
      <c r="AI12" s="103">
        <v>3291640</v>
      </c>
      <c r="AJ12" s="84">
        <v>1827018</v>
      </c>
      <c r="AK12" s="84">
        <v>5495421</v>
      </c>
      <c r="AL12" s="84">
        <v>10279880</v>
      </c>
      <c r="AM12" s="84">
        <v>34346282</v>
      </c>
      <c r="AN12" s="84">
        <v>205330</v>
      </c>
      <c r="AO12" s="84">
        <v>858188</v>
      </c>
      <c r="AP12" s="84">
        <v>348207</v>
      </c>
      <c r="AQ12" s="84">
        <v>1117508</v>
      </c>
      <c r="AR12" s="84">
        <f>12625+303614+4287294</f>
        <v>4603533</v>
      </c>
      <c r="AS12" s="84">
        <f>52365+1184600+14583804</f>
        <v>15820769</v>
      </c>
      <c r="AT12" s="84">
        <v>2195847</v>
      </c>
      <c r="AU12" s="84">
        <v>7210418</v>
      </c>
      <c r="AV12" s="84">
        <f>5991+1420268+27415</f>
        <v>1453674</v>
      </c>
      <c r="AW12" s="84">
        <f>42318+4778162+143884</f>
        <v>4964364</v>
      </c>
      <c r="AX12" s="84">
        <v>3318498</v>
      </c>
      <c r="AY12" s="84">
        <v>10337717</v>
      </c>
      <c r="AZ12" s="84">
        <v>1183917</v>
      </c>
      <c r="BA12" s="84">
        <v>4014060</v>
      </c>
      <c r="BB12" s="84">
        <v>4531431</v>
      </c>
      <c r="BC12" s="84">
        <v>14030512</v>
      </c>
      <c r="BD12" s="103">
        <v>4860732</v>
      </c>
      <c r="BE12" s="103">
        <v>17637778</v>
      </c>
      <c r="BF12" s="84">
        <f>180080+11157260+1312227</f>
        <v>12649567</v>
      </c>
      <c r="BG12" s="84">
        <f>839605+46939446+5987412</f>
        <v>53766463</v>
      </c>
      <c r="BH12" s="103">
        <f>141042+692560+6613023</f>
        <v>7446625</v>
      </c>
      <c r="BI12" s="103">
        <f>638601+4243381+25546132</f>
        <v>30428114</v>
      </c>
      <c r="BJ12" s="103">
        <v>12740877</v>
      </c>
      <c r="BK12" s="103">
        <v>39050237</v>
      </c>
      <c r="BL12" s="103">
        <v>1007933</v>
      </c>
      <c r="BM12" s="103">
        <v>2728109</v>
      </c>
      <c r="BN12" s="72">
        <f t="shared" si="15"/>
        <v>109182860.49000001</v>
      </c>
      <c r="BO12" s="72">
        <f t="shared" si="16"/>
        <v>382689086.55000001</v>
      </c>
    </row>
    <row r="13" spans="1:67" x14ac:dyDescent="0.25">
      <c r="A13" s="2" t="s">
        <v>32</v>
      </c>
      <c r="B13" s="84">
        <f>B14-B12-B11-B10</f>
        <v>0</v>
      </c>
      <c r="C13" s="84">
        <f t="shared" ref="C13:K13" si="17">C14-C12-C11-C10</f>
        <v>63</v>
      </c>
      <c r="D13" s="84">
        <f t="shared" si="17"/>
        <v>0</v>
      </c>
      <c r="E13" s="84">
        <f t="shared" si="17"/>
        <v>0</v>
      </c>
      <c r="F13" s="84">
        <f t="shared" si="17"/>
        <v>1051287</v>
      </c>
      <c r="G13" s="84">
        <f t="shared" si="17"/>
        <v>1174361</v>
      </c>
      <c r="H13" s="84">
        <f t="shared" si="17"/>
        <v>8050</v>
      </c>
      <c r="I13" s="84">
        <f t="shared" si="17"/>
        <v>27152</v>
      </c>
      <c r="J13" s="84">
        <f t="shared" si="17"/>
        <v>23958</v>
      </c>
      <c r="K13" s="84">
        <f t="shared" si="17"/>
        <v>17555</v>
      </c>
      <c r="L13" s="84">
        <f t="shared" ref="L13:BL13" si="18">L14-L12-L11-L10</f>
        <v>0</v>
      </c>
      <c r="M13" s="84">
        <f t="shared" si="18"/>
        <v>0</v>
      </c>
      <c r="N13" s="84">
        <f t="shared" si="18"/>
        <v>1170322.6899999997</v>
      </c>
      <c r="O13" s="84">
        <f t="shared" si="18"/>
        <v>1171675.8099999987</v>
      </c>
      <c r="P13" s="84">
        <f t="shared" si="18"/>
        <v>-8894</v>
      </c>
      <c r="Q13" s="84">
        <f t="shared" ref="Q13" si="19">Q14-Q12-Q11-Q10</f>
        <v>-1409</v>
      </c>
      <c r="R13" s="84">
        <f t="shared" si="18"/>
        <v>-1677961</v>
      </c>
      <c r="S13" s="84">
        <f t="shared" si="18"/>
        <v>-1677961</v>
      </c>
      <c r="T13" s="84">
        <f t="shared" si="18"/>
        <v>506</v>
      </c>
      <c r="U13" s="84">
        <f t="shared" si="18"/>
        <v>506</v>
      </c>
      <c r="V13" s="84">
        <f t="shared" si="18"/>
        <v>0</v>
      </c>
      <c r="W13" s="84">
        <f t="shared" si="18"/>
        <v>0</v>
      </c>
      <c r="X13" s="84">
        <f t="shared" si="18"/>
        <v>0</v>
      </c>
      <c r="Y13" s="84">
        <f t="shared" ref="Y13" si="20">Y14-Y12-Y11-Y10</f>
        <v>0</v>
      </c>
      <c r="Z13" s="84">
        <f t="shared" si="18"/>
        <v>0</v>
      </c>
      <c r="AA13" s="84">
        <f t="shared" ref="AA13" si="21">AA14-AA12-AA11-AA10</f>
        <v>0</v>
      </c>
      <c r="AB13" s="84">
        <f t="shared" si="18"/>
        <v>396</v>
      </c>
      <c r="AC13" s="84">
        <f t="shared" ref="AC13" si="22">AC14-AC12-AC11-AC10</f>
        <v>1297</v>
      </c>
      <c r="AD13" s="84">
        <f t="shared" si="18"/>
        <v>-1</v>
      </c>
      <c r="AE13" s="84">
        <f t="shared" ref="AE13" si="23">AE14-AE12-AE11-AE10</f>
        <v>0</v>
      </c>
      <c r="AF13" s="84">
        <f t="shared" si="18"/>
        <v>489</v>
      </c>
      <c r="AG13" s="84">
        <f t="shared" ref="AG13" si="24">AG14-AG12-AG11-AG10</f>
        <v>287</v>
      </c>
      <c r="AH13" s="84">
        <f t="shared" si="18"/>
        <v>0</v>
      </c>
      <c r="AI13" s="84">
        <f t="shared" si="18"/>
        <v>0</v>
      </c>
      <c r="AJ13" s="84">
        <f t="shared" si="18"/>
        <v>0</v>
      </c>
      <c r="AK13" s="84">
        <f t="shared" si="18"/>
        <v>0</v>
      </c>
      <c r="AL13" s="84">
        <f t="shared" si="18"/>
        <v>128777</v>
      </c>
      <c r="AM13" s="84">
        <f t="shared" ref="AM13" si="25">AM14-AM12-AM11-AM10</f>
        <v>679420</v>
      </c>
      <c r="AN13" s="84">
        <f t="shared" si="18"/>
        <v>4984</v>
      </c>
      <c r="AO13" s="84">
        <f t="shared" ref="AO13" si="26">AO14-AO12-AO11-AO10</f>
        <v>986961</v>
      </c>
      <c r="AP13" s="84">
        <f t="shared" si="18"/>
        <v>0</v>
      </c>
      <c r="AQ13" s="84">
        <f t="shared" ref="AQ13" si="27">AQ14-AQ12-AQ11-AQ10</f>
        <v>0</v>
      </c>
      <c r="AR13" s="84">
        <f t="shared" si="18"/>
        <v>0</v>
      </c>
      <c r="AS13" s="84">
        <f t="shared" ref="AS13" si="28">AS14-AS12-AS11-AS10</f>
        <v>0</v>
      </c>
      <c r="AT13" s="84">
        <f t="shared" si="18"/>
        <v>912293</v>
      </c>
      <c r="AU13" s="84">
        <f t="shared" ref="AU13" si="29">AU14-AU12-AU11-AU10</f>
        <v>1114220</v>
      </c>
      <c r="AV13" s="84">
        <f t="shared" si="18"/>
        <v>0</v>
      </c>
      <c r="AW13" s="84">
        <f t="shared" si="18"/>
        <v>0</v>
      </c>
      <c r="AX13" s="84">
        <f t="shared" si="18"/>
        <v>0</v>
      </c>
      <c r="AY13" s="84">
        <f t="shared" si="18"/>
        <v>0</v>
      </c>
      <c r="AZ13" s="84">
        <f t="shared" si="18"/>
        <v>0</v>
      </c>
      <c r="BA13" s="84">
        <f t="shared" ref="BA13" si="30">BA14-BA12-BA11-BA10</f>
        <v>0</v>
      </c>
      <c r="BB13" s="84">
        <f t="shared" si="18"/>
        <v>0</v>
      </c>
      <c r="BC13" s="84">
        <f t="shared" si="18"/>
        <v>0</v>
      </c>
      <c r="BD13" s="84">
        <f t="shared" si="18"/>
        <v>0</v>
      </c>
      <c r="BE13" s="84">
        <f t="shared" ref="BE13" si="31">BE14-BE12-BE11-BE10</f>
        <v>0</v>
      </c>
      <c r="BF13" s="84">
        <f t="shared" si="18"/>
        <v>318988</v>
      </c>
      <c r="BG13" s="84">
        <f t="shared" si="18"/>
        <v>3013232</v>
      </c>
      <c r="BH13" s="84">
        <f t="shared" ref="BH13:BI13" si="32">BH14-BH12-BH11-BH10</f>
        <v>3002268</v>
      </c>
      <c r="BI13" s="84">
        <f t="shared" si="32"/>
        <v>3002268</v>
      </c>
      <c r="BJ13" s="84">
        <f t="shared" si="18"/>
        <v>2523639</v>
      </c>
      <c r="BK13" s="84">
        <f t="shared" ref="BK13" si="33">BK14-BK12-BK11-BK10</f>
        <v>4349232</v>
      </c>
      <c r="BL13" s="84">
        <f t="shared" si="18"/>
        <v>3323</v>
      </c>
      <c r="BM13" s="84">
        <f t="shared" ref="BM13" si="34">BM14-BM12-BM11-BM10</f>
        <v>5904</v>
      </c>
      <c r="BN13" s="72">
        <f t="shared" si="15"/>
        <v>7462424.6899999995</v>
      </c>
      <c r="BO13" s="72">
        <f t="shared" si="16"/>
        <v>13864763.809999999</v>
      </c>
    </row>
    <row r="14" spans="1:67" s="7" customFormat="1" x14ac:dyDescent="0.25">
      <c r="A14" s="3" t="s">
        <v>30</v>
      </c>
      <c r="B14" s="10">
        <v>958863</v>
      </c>
      <c r="C14" s="10">
        <v>3410048</v>
      </c>
      <c r="D14" s="10">
        <v>3499147</v>
      </c>
      <c r="E14" s="10">
        <v>11205970</v>
      </c>
      <c r="F14" s="10">
        <v>14049213</v>
      </c>
      <c r="G14" s="10">
        <v>65392698</v>
      </c>
      <c r="H14" s="10">
        <v>17886729</v>
      </c>
      <c r="I14" s="10">
        <v>72020882</v>
      </c>
      <c r="J14" s="10">
        <v>4828191</v>
      </c>
      <c r="K14" s="10">
        <v>20483533</v>
      </c>
      <c r="L14" s="10">
        <f>60798+9090016+218453</f>
        <v>9369267</v>
      </c>
      <c r="M14" s="10">
        <f>224187+33912841+758211</f>
        <v>34895239</v>
      </c>
      <c r="N14" s="10">
        <v>4182225.34</v>
      </c>
      <c r="O14" s="10">
        <v>12464152.859999999</v>
      </c>
      <c r="P14" s="10">
        <v>717769</v>
      </c>
      <c r="Q14" s="10">
        <v>2874189</v>
      </c>
      <c r="R14" s="10">
        <v>4651382</v>
      </c>
      <c r="S14" s="10">
        <v>22258392</v>
      </c>
      <c r="T14" s="10">
        <v>7906944</v>
      </c>
      <c r="U14" s="10">
        <v>23705327</v>
      </c>
      <c r="V14" s="10">
        <v>17151418</v>
      </c>
      <c r="W14" s="10">
        <v>66406079</v>
      </c>
      <c r="X14" s="10">
        <v>27075127</v>
      </c>
      <c r="Y14" s="10">
        <v>102059312</v>
      </c>
      <c r="Z14" s="10">
        <f>197923+13703284+247183</f>
        <v>14148390</v>
      </c>
      <c r="AA14" s="10">
        <f>691748+50698073+255208</f>
        <v>51645029</v>
      </c>
      <c r="AB14" s="10">
        <v>1346945</v>
      </c>
      <c r="AC14" s="10">
        <v>4527015</v>
      </c>
      <c r="AD14" s="10">
        <f>86441+25705+3377227</f>
        <v>3489373</v>
      </c>
      <c r="AE14" s="10">
        <f>282835+194370+13513976</f>
        <v>13991181</v>
      </c>
      <c r="AF14" s="10">
        <v>2456412</v>
      </c>
      <c r="AG14" s="10">
        <v>9286693</v>
      </c>
      <c r="AH14" s="10">
        <v>2361941</v>
      </c>
      <c r="AI14" s="10">
        <v>7972375</v>
      </c>
      <c r="AJ14" s="10">
        <v>4004836</v>
      </c>
      <c r="AK14" s="10">
        <v>12585779</v>
      </c>
      <c r="AL14" s="10">
        <v>41056644.470656253</v>
      </c>
      <c r="AM14" s="10">
        <v>141639118.4470267</v>
      </c>
      <c r="AN14" s="10">
        <v>349697</v>
      </c>
      <c r="AO14" s="10">
        <v>2464555</v>
      </c>
      <c r="AP14" s="10">
        <v>954651</v>
      </c>
      <c r="AQ14" s="10">
        <v>3043017</v>
      </c>
      <c r="AR14" s="10">
        <f>41652+344014+10546680</f>
        <v>10932346</v>
      </c>
      <c r="AS14" s="10">
        <f>181817+2364556+40607304</f>
        <v>43153677</v>
      </c>
      <c r="AT14" s="10">
        <v>5660066</v>
      </c>
      <c r="AU14" s="10">
        <v>18128888</v>
      </c>
      <c r="AV14" s="10">
        <f>45468+6295155+115954</f>
        <v>6456577</v>
      </c>
      <c r="AW14" s="10">
        <f>161192+22791290+423946</f>
        <v>23376428</v>
      </c>
      <c r="AX14" s="10">
        <v>9837305</v>
      </c>
      <c r="AY14" s="10">
        <v>34737167</v>
      </c>
      <c r="AZ14" s="10">
        <v>5195335</v>
      </c>
      <c r="BA14" s="10">
        <v>21928151</v>
      </c>
      <c r="BB14" s="10">
        <v>19560962</v>
      </c>
      <c r="BC14" s="10">
        <v>63582681</v>
      </c>
      <c r="BD14" s="10">
        <v>14750642</v>
      </c>
      <c r="BE14" s="10">
        <v>54358351</v>
      </c>
      <c r="BF14" s="10">
        <f>1341474+77151798+8639748</f>
        <v>87133020</v>
      </c>
      <c r="BG14" s="10">
        <f>4589376+263406591+34318910</f>
        <v>302314877</v>
      </c>
      <c r="BH14" s="10">
        <f>235370+1224092+41767186</f>
        <v>43226648</v>
      </c>
      <c r="BI14" s="10">
        <f>2405227+9334701+135922569</f>
        <v>147662497</v>
      </c>
      <c r="BJ14" s="10">
        <v>52132588</v>
      </c>
      <c r="BK14" s="10">
        <v>175603899</v>
      </c>
      <c r="BL14" s="10">
        <v>3519606</v>
      </c>
      <c r="BM14" s="10">
        <v>14960231</v>
      </c>
      <c r="BN14" s="68">
        <f t="shared" si="15"/>
        <v>440850259.81065625</v>
      </c>
      <c r="BO14" s="68">
        <f t="shared" si="16"/>
        <v>1584137431.3070269</v>
      </c>
    </row>
    <row r="15" spans="1:67" s="7" customFormat="1" x14ac:dyDescent="0.25">
      <c r="A15" s="3" t="s">
        <v>31</v>
      </c>
      <c r="B15" s="10">
        <f>B9-B14</f>
        <v>-336375</v>
      </c>
      <c r="C15" s="10">
        <f t="shared" ref="C15:K15" si="35">C9-C14</f>
        <v>-1453168</v>
      </c>
      <c r="D15" s="10">
        <f t="shared" si="35"/>
        <v>-264330</v>
      </c>
      <c r="E15" s="10">
        <f t="shared" si="35"/>
        <v>-2112964</v>
      </c>
      <c r="F15" s="10">
        <f t="shared" si="35"/>
        <v>2167082</v>
      </c>
      <c r="G15" s="10">
        <f t="shared" si="35"/>
        <v>8254514</v>
      </c>
      <c r="H15" s="10">
        <f t="shared" si="35"/>
        <v>3167303</v>
      </c>
      <c r="I15" s="10">
        <f t="shared" si="35"/>
        <v>14788762</v>
      </c>
      <c r="J15" s="10">
        <f t="shared" si="35"/>
        <v>3224963</v>
      </c>
      <c r="K15" s="10">
        <f t="shared" si="35"/>
        <v>4262557</v>
      </c>
      <c r="L15" s="10">
        <f t="shared" ref="L15:BL15" si="36">L9-L14</f>
        <v>1078997</v>
      </c>
      <c r="M15" s="10">
        <f t="shared" si="36"/>
        <v>5804398</v>
      </c>
      <c r="N15" s="10">
        <f t="shared" si="36"/>
        <v>-63119.889999999665</v>
      </c>
      <c r="O15" s="10">
        <f t="shared" si="36"/>
        <v>1590971.4100000001</v>
      </c>
      <c r="P15" s="10">
        <f t="shared" si="36"/>
        <v>-321396</v>
      </c>
      <c r="Q15" s="10">
        <f t="shared" ref="Q15" si="37">Q9-Q14</f>
        <v>-1022544</v>
      </c>
      <c r="R15" s="10">
        <f t="shared" si="36"/>
        <v>1930168</v>
      </c>
      <c r="S15" s="10">
        <f t="shared" si="36"/>
        <v>2963297</v>
      </c>
      <c r="T15" s="10">
        <f t="shared" si="36"/>
        <v>-1531031</v>
      </c>
      <c r="U15" s="10">
        <f t="shared" si="36"/>
        <v>-1854869</v>
      </c>
      <c r="V15" s="10">
        <f t="shared" si="36"/>
        <v>1079980</v>
      </c>
      <c r="W15" s="10">
        <f t="shared" si="36"/>
        <v>7308757</v>
      </c>
      <c r="X15" s="10">
        <f t="shared" si="36"/>
        <v>7818861</v>
      </c>
      <c r="Y15" s="10">
        <f t="shared" ref="Y15" si="38">Y9-Y14</f>
        <v>19554449</v>
      </c>
      <c r="Z15" s="10">
        <f t="shared" si="36"/>
        <v>173778</v>
      </c>
      <c r="AA15" s="10">
        <f t="shared" ref="AA15" si="39">AA9-AA14</f>
        <v>3434647</v>
      </c>
      <c r="AB15" s="10">
        <f t="shared" si="36"/>
        <v>-163099</v>
      </c>
      <c r="AC15" s="10">
        <f t="shared" ref="AC15" si="40">AC9-AC14</f>
        <v>-115034</v>
      </c>
      <c r="AD15" s="10">
        <f t="shared" si="36"/>
        <v>1551610</v>
      </c>
      <c r="AE15" s="10">
        <f t="shared" ref="AE15" si="41">AE9-AE14</f>
        <v>1579990</v>
      </c>
      <c r="AF15" s="10">
        <f t="shared" si="36"/>
        <v>-67327</v>
      </c>
      <c r="AG15" s="10">
        <f t="shared" ref="AG15" si="42">AG9-AG14</f>
        <v>293680</v>
      </c>
      <c r="AH15" s="10">
        <f t="shared" si="36"/>
        <v>1145253</v>
      </c>
      <c r="AI15" s="10">
        <f t="shared" si="36"/>
        <v>51965</v>
      </c>
      <c r="AJ15" s="10">
        <f t="shared" si="36"/>
        <v>702620</v>
      </c>
      <c r="AK15" s="10">
        <f t="shared" si="36"/>
        <v>1249572</v>
      </c>
      <c r="AL15" s="10">
        <f t="shared" si="36"/>
        <v>-1989507.668480061</v>
      </c>
      <c r="AM15" s="10">
        <f t="shared" ref="AM15" si="43">AM9-AM14</f>
        <v>1616937.2267135084</v>
      </c>
      <c r="AN15" s="10">
        <f t="shared" si="36"/>
        <v>-82988</v>
      </c>
      <c r="AO15" s="10">
        <f t="shared" ref="AO15" si="44">AO9-AO14</f>
        <v>-1366840</v>
      </c>
      <c r="AP15" s="10">
        <f t="shared" si="36"/>
        <v>-243442</v>
      </c>
      <c r="AQ15" s="10">
        <f t="shared" ref="AQ15" si="45">AQ9-AQ14</f>
        <v>-513633</v>
      </c>
      <c r="AR15" s="10">
        <f t="shared" si="36"/>
        <v>1553858</v>
      </c>
      <c r="AS15" s="10">
        <f t="shared" ref="AS15" si="46">AS9-AS14</f>
        <v>4956493</v>
      </c>
      <c r="AT15" s="10">
        <f t="shared" si="36"/>
        <v>2706521</v>
      </c>
      <c r="AU15" s="10">
        <f t="shared" ref="AU15" si="47">AU9-AU14</f>
        <v>2627439</v>
      </c>
      <c r="AV15" s="10">
        <f t="shared" si="36"/>
        <v>-273689</v>
      </c>
      <c r="AW15" s="10">
        <f t="shared" si="36"/>
        <v>1658218</v>
      </c>
      <c r="AX15" s="10">
        <f t="shared" si="36"/>
        <v>1140504</v>
      </c>
      <c r="AY15" s="10">
        <f t="shared" si="36"/>
        <v>5141038</v>
      </c>
      <c r="AZ15" s="10">
        <f t="shared" si="36"/>
        <v>1683851</v>
      </c>
      <c r="BA15" s="10">
        <f t="shared" ref="BA15" si="48">BA9-BA14</f>
        <v>6426134</v>
      </c>
      <c r="BB15" s="10">
        <f t="shared" si="36"/>
        <v>-12074844</v>
      </c>
      <c r="BC15" s="10">
        <f t="shared" si="36"/>
        <v>-14811107</v>
      </c>
      <c r="BD15" s="10">
        <f t="shared" si="36"/>
        <v>634696</v>
      </c>
      <c r="BE15" s="10">
        <f t="shared" ref="BE15" si="49">BE9-BE14</f>
        <v>4229407</v>
      </c>
      <c r="BF15" s="10">
        <f t="shared" si="36"/>
        <v>-1175838</v>
      </c>
      <c r="BG15" s="10">
        <f t="shared" si="36"/>
        <v>6988993</v>
      </c>
      <c r="BH15" s="10">
        <f t="shared" ref="BH15:BI15" si="50">BH9-BH14</f>
        <v>-4189100</v>
      </c>
      <c r="BI15" s="10">
        <f t="shared" si="50"/>
        <v>-12328253</v>
      </c>
      <c r="BJ15" s="10">
        <f t="shared" si="36"/>
        <v>-4393756</v>
      </c>
      <c r="BK15" s="10">
        <f t="shared" ref="BK15" si="51">BK9-BK14</f>
        <v>-10532929</v>
      </c>
      <c r="BL15" s="10">
        <f t="shared" si="36"/>
        <v>-1178228</v>
      </c>
      <c r="BM15" s="10">
        <f t="shared" ref="BM15" si="52">BM9-BM14</f>
        <v>280204</v>
      </c>
      <c r="BN15" s="68">
        <f t="shared" si="15"/>
        <v>3411974.4415199384</v>
      </c>
      <c r="BO15" s="68">
        <f t="shared" si="16"/>
        <v>58951081.636713505</v>
      </c>
    </row>
  </sheetData>
  <mergeCells count="33">
    <mergeCell ref="BF3:BG3"/>
    <mergeCell ref="BN3:BO3"/>
    <mergeCell ref="BL3:BM3"/>
    <mergeCell ref="BJ3:BK3"/>
    <mergeCell ref="BH3:BI3"/>
    <mergeCell ref="AP3:AQ3"/>
    <mergeCell ref="AL3:AM3"/>
    <mergeCell ref="AJ3:AK3"/>
    <mergeCell ref="AH3:AI3"/>
    <mergeCell ref="AN3:AO3"/>
    <mergeCell ref="BD3:BE3"/>
    <mergeCell ref="BB3:BC3"/>
    <mergeCell ref="AZ3:BA3"/>
    <mergeCell ref="AX3:AY3"/>
    <mergeCell ref="AR3:AS3"/>
    <mergeCell ref="AT3:AU3"/>
    <mergeCell ref="AV3:AW3"/>
    <mergeCell ref="N3:O3"/>
    <mergeCell ref="P3:Q3"/>
    <mergeCell ref="L3:M3"/>
    <mergeCell ref="T3:U3"/>
    <mergeCell ref="V3:W3"/>
    <mergeCell ref="AF3:AG3"/>
    <mergeCell ref="AB3:AC3"/>
    <mergeCell ref="Z3:AA3"/>
    <mergeCell ref="X3:Y3"/>
    <mergeCell ref="R3:S3"/>
    <mergeCell ref="AD3:AE3"/>
    <mergeCell ref="H3:I3"/>
    <mergeCell ref="F3:G3"/>
    <mergeCell ref="D3:E3"/>
    <mergeCell ref="B3:C3"/>
    <mergeCell ref="J3:K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4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8.85546875" style="23" customWidth="1"/>
    <col min="2" max="33" width="16" style="23" customWidth="1"/>
    <col min="34" max="34" width="16" style="7" customWidth="1"/>
    <col min="35" max="16384" width="9.140625" style="23"/>
  </cols>
  <sheetData>
    <row r="1" spans="1:34" ht="18.75" x14ac:dyDescent="0.3">
      <c r="A1" s="12" t="s">
        <v>301</v>
      </c>
    </row>
    <row r="2" spans="1:34" x14ac:dyDescent="0.25">
      <c r="A2" s="13" t="s">
        <v>34</v>
      </c>
    </row>
    <row r="3" spans="1:34" x14ac:dyDescent="0.25">
      <c r="A3" s="1" t="s">
        <v>0</v>
      </c>
      <c r="B3" s="93" t="s">
        <v>1</v>
      </c>
      <c r="C3" s="93" t="s">
        <v>282</v>
      </c>
      <c r="D3" s="93" t="s">
        <v>2</v>
      </c>
      <c r="E3" s="93" t="s">
        <v>3</v>
      </c>
      <c r="F3" s="93" t="s">
        <v>4</v>
      </c>
      <c r="G3" s="93" t="s">
        <v>283</v>
      </c>
      <c r="H3" s="93" t="s">
        <v>6</v>
      </c>
      <c r="I3" s="93" t="s">
        <v>5</v>
      </c>
      <c r="J3" s="93" t="s">
        <v>7</v>
      </c>
      <c r="K3" s="93" t="s">
        <v>284</v>
      </c>
      <c r="L3" s="93" t="s">
        <v>8</v>
      </c>
      <c r="M3" s="93" t="s">
        <v>9</v>
      </c>
      <c r="N3" s="93" t="s">
        <v>10</v>
      </c>
      <c r="O3" s="93" t="s">
        <v>293</v>
      </c>
      <c r="P3" s="93" t="s">
        <v>11</v>
      </c>
      <c r="Q3" s="93" t="s">
        <v>12</v>
      </c>
      <c r="R3" s="93" t="s">
        <v>285</v>
      </c>
      <c r="S3" s="93" t="s">
        <v>290</v>
      </c>
      <c r="T3" s="93" t="s">
        <v>13</v>
      </c>
      <c r="U3" s="93" t="s">
        <v>286</v>
      </c>
      <c r="V3" s="93" t="s">
        <v>287</v>
      </c>
      <c r="W3" s="93" t="s">
        <v>291</v>
      </c>
      <c r="X3" s="93" t="s">
        <v>294</v>
      </c>
      <c r="Y3" s="93" t="s">
        <v>14</v>
      </c>
      <c r="Z3" s="93" t="s">
        <v>15</v>
      </c>
      <c r="AA3" s="93" t="s">
        <v>16</v>
      </c>
      <c r="AB3" s="93" t="s">
        <v>17</v>
      </c>
      <c r="AC3" s="93" t="s">
        <v>18</v>
      </c>
      <c r="AD3" s="92" t="s">
        <v>288</v>
      </c>
      <c r="AE3" s="92" t="s">
        <v>289</v>
      </c>
      <c r="AF3" s="92" t="s">
        <v>19</v>
      </c>
      <c r="AG3" s="93" t="s">
        <v>20</v>
      </c>
      <c r="AH3" s="91" t="s">
        <v>21</v>
      </c>
    </row>
    <row r="4" spans="1:34" x14ac:dyDescent="0.25">
      <c r="A4" s="14" t="s">
        <v>43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68"/>
    </row>
    <row r="5" spans="1:34" x14ac:dyDescent="0.25">
      <c r="A5" s="21" t="s">
        <v>44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69">
        <f t="shared" ref="AH5:AH12" si="0">SUM(B5:AG5)</f>
        <v>0</v>
      </c>
    </row>
    <row r="6" spans="1:34" x14ac:dyDescent="0.25">
      <c r="A6" s="21" t="s">
        <v>45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69">
        <f t="shared" si="0"/>
        <v>0</v>
      </c>
    </row>
    <row r="7" spans="1:34" x14ac:dyDescent="0.25">
      <c r="A7" s="21" t="s">
        <v>46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96">
        <v>230252</v>
      </c>
      <c r="U7" s="25"/>
      <c r="V7" s="25"/>
      <c r="W7" s="25"/>
      <c r="X7" s="25"/>
      <c r="Y7" s="25"/>
      <c r="Z7" s="25"/>
      <c r="AA7" s="25"/>
      <c r="AB7" s="25"/>
      <c r="AC7" s="25"/>
      <c r="AD7" s="25">
        <v>2735481</v>
      </c>
      <c r="AE7" s="25"/>
      <c r="AF7" s="25">
        <v>1410184</v>
      </c>
      <c r="AG7" s="25"/>
      <c r="AH7" s="69">
        <f t="shared" si="0"/>
        <v>4375917</v>
      </c>
    </row>
    <row r="8" spans="1:34" x14ac:dyDescent="0.25">
      <c r="A8" s="21" t="s">
        <v>47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69">
        <f t="shared" si="0"/>
        <v>0</v>
      </c>
    </row>
    <row r="9" spans="1:34" x14ac:dyDescent="0.25">
      <c r="A9" s="21" t="s">
        <v>48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69">
        <f t="shared" si="0"/>
        <v>0</v>
      </c>
    </row>
    <row r="10" spans="1:34" x14ac:dyDescent="0.25">
      <c r="A10" s="21" t="s">
        <v>49</v>
      </c>
      <c r="B10" s="25"/>
      <c r="C10" s="25"/>
      <c r="D10" s="25">
        <v>147532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>
        <v>453001</v>
      </c>
      <c r="AE10" s="25">
        <f>1151136+220406</f>
        <v>1371542</v>
      </c>
      <c r="AF10" s="25">
        <v>383202</v>
      </c>
      <c r="AG10" s="25"/>
      <c r="AH10" s="69">
        <f t="shared" si="0"/>
        <v>2355277</v>
      </c>
    </row>
    <row r="11" spans="1:34" x14ac:dyDescent="0.25">
      <c r="A11" s="21" t="s">
        <v>50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>
        <v>34673</v>
      </c>
      <c r="R11" s="25"/>
      <c r="S11" s="25"/>
      <c r="T11" s="96">
        <v>117629</v>
      </c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>
        <v>64299</v>
      </c>
      <c r="AF11" s="25">
        <v>117020</v>
      </c>
      <c r="AG11" s="25"/>
      <c r="AH11" s="69">
        <f t="shared" si="0"/>
        <v>333621</v>
      </c>
    </row>
    <row r="12" spans="1:34" s="7" customFormat="1" x14ac:dyDescent="0.25">
      <c r="A12" s="3" t="s">
        <v>42</v>
      </c>
      <c r="B12" s="10">
        <f>SUM(B5:B11)</f>
        <v>0</v>
      </c>
      <c r="C12" s="10">
        <f t="shared" ref="C12:AG12" si="1">SUM(C5:C11)</f>
        <v>0</v>
      </c>
      <c r="D12" s="10">
        <f t="shared" si="1"/>
        <v>147532</v>
      </c>
      <c r="E12" s="10">
        <f t="shared" si="1"/>
        <v>0</v>
      </c>
      <c r="F12" s="10">
        <f t="shared" si="1"/>
        <v>0</v>
      </c>
      <c r="G12" s="10">
        <f t="shared" si="1"/>
        <v>0</v>
      </c>
      <c r="H12" s="10">
        <f t="shared" si="1"/>
        <v>0</v>
      </c>
      <c r="I12" s="10">
        <f t="shared" si="1"/>
        <v>0</v>
      </c>
      <c r="J12" s="10">
        <f t="shared" si="1"/>
        <v>0</v>
      </c>
      <c r="K12" s="10">
        <f t="shared" si="1"/>
        <v>0</v>
      </c>
      <c r="L12" s="10">
        <f t="shared" si="1"/>
        <v>0</v>
      </c>
      <c r="M12" s="10">
        <f t="shared" si="1"/>
        <v>0</v>
      </c>
      <c r="N12" s="10">
        <f t="shared" si="1"/>
        <v>0</v>
      </c>
      <c r="O12" s="10">
        <f t="shared" si="1"/>
        <v>0</v>
      </c>
      <c r="P12" s="10">
        <f t="shared" si="1"/>
        <v>0</v>
      </c>
      <c r="Q12" s="10">
        <f t="shared" si="1"/>
        <v>34673</v>
      </c>
      <c r="R12" s="10">
        <f t="shared" si="1"/>
        <v>0</v>
      </c>
      <c r="S12" s="10">
        <f t="shared" si="1"/>
        <v>0</v>
      </c>
      <c r="T12" s="10">
        <f t="shared" si="1"/>
        <v>347881</v>
      </c>
      <c r="U12" s="10">
        <f t="shared" si="1"/>
        <v>0</v>
      </c>
      <c r="V12" s="10">
        <f t="shared" si="1"/>
        <v>0</v>
      </c>
      <c r="W12" s="10">
        <f t="shared" si="1"/>
        <v>0</v>
      </c>
      <c r="X12" s="10">
        <f t="shared" si="1"/>
        <v>0</v>
      </c>
      <c r="Y12" s="10">
        <f t="shared" si="1"/>
        <v>0</v>
      </c>
      <c r="Z12" s="10">
        <f t="shared" si="1"/>
        <v>0</v>
      </c>
      <c r="AA12" s="10">
        <f t="shared" si="1"/>
        <v>0</v>
      </c>
      <c r="AB12" s="10">
        <f t="shared" si="1"/>
        <v>0</v>
      </c>
      <c r="AC12" s="10">
        <f t="shared" si="1"/>
        <v>0</v>
      </c>
      <c r="AD12" s="10">
        <f t="shared" si="1"/>
        <v>3188482</v>
      </c>
      <c r="AE12" s="10">
        <f>SUM(AE5:AE11)</f>
        <v>1435841</v>
      </c>
      <c r="AF12" s="10">
        <f t="shared" si="1"/>
        <v>1910406</v>
      </c>
      <c r="AG12" s="10">
        <f t="shared" si="1"/>
        <v>0</v>
      </c>
      <c r="AH12" s="68">
        <f t="shared" si="0"/>
        <v>7064815</v>
      </c>
    </row>
    <row r="13" spans="1:34" x14ac:dyDescent="0.25">
      <c r="A13" s="14" t="s">
        <v>51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68"/>
    </row>
    <row r="14" spans="1:34" x14ac:dyDescent="0.25">
      <c r="A14" s="21" t="s">
        <v>52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96">
        <v>53398</v>
      </c>
      <c r="U14" s="25"/>
      <c r="V14" s="25"/>
      <c r="W14" s="25"/>
      <c r="X14" s="25"/>
      <c r="Y14" s="25"/>
      <c r="Z14" s="25"/>
      <c r="AA14" s="25"/>
      <c r="AB14" s="25"/>
      <c r="AC14" s="25"/>
      <c r="AD14" s="25">
        <v>222435</v>
      </c>
      <c r="AE14" s="25">
        <v>139468</v>
      </c>
      <c r="AF14" s="25">
        <v>383202</v>
      </c>
      <c r="AG14" s="25"/>
      <c r="AH14" s="69">
        <f t="shared" ref="AH14:AH19" si="2">SUM(B14:AG14)</f>
        <v>798503</v>
      </c>
    </row>
    <row r="15" spans="1:34" x14ac:dyDescent="0.25">
      <c r="A15" s="21" t="s">
        <v>53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69">
        <f t="shared" si="2"/>
        <v>0</v>
      </c>
    </row>
    <row r="16" spans="1:34" x14ac:dyDescent="0.25">
      <c r="A16" s="21" t="s">
        <v>54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69">
        <f t="shared" si="2"/>
        <v>0</v>
      </c>
    </row>
    <row r="17" spans="1:34" x14ac:dyDescent="0.25">
      <c r="A17" s="21" t="s">
        <v>55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96">
        <v>293844</v>
      </c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>
        <v>145237</v>
      </c>
      <c r="AF17" s="25">
        <v>163854</v>
      </c>
      <c r="AG17" s="25"/>
      <c r="AH17" s="69">
        <f t="shared" si="2"/>
        <v>602935</v>
      </c>
    </row>
    <row r="18" spans="1:34" x14ac:dyDescent="0.25">
      <c r="A18" s="21" t="s">
        <v>56</v>
      </c>
      <c r="B18" s="25"/>
      <c r="C18" s="25"/>
      <c r="D18" s="25">
        <v>147532</v>
      </c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>
        <v>34673</v>
      </c>
      <c r="R18" s="25"/>
      <c r="S18" s="25"/>
      <c r="T18" s="96">
        <v>639</v>
      </c>
      <c r="U18" s="25"/>
      <c r="V18" s="25"/>
      <c r="W18" s="25"/>
      <c r="X18" s="25"/>
      <c r="Y18" s="25"/>
      <c r="Z18" s="25"/>
      <c r="AA18" s="25"/>
      <c r="AB18" s="25"/>
      <c r="AC18" s="25"/>
      <c r="AD18" s="25">
        <v>2966048</v>
      </c>
      <c r="AE18" s="25">
        <v>1151136</v>
      </c>
      <c r="AF18" s="25">
        <v>1363350</v>
      </c>
      <c r="AG18" s="25"/>
      <c r="AH18" s="69">
        <f t="shared" si="2"/>
        <v>5663378</v>
      </c>
    </row>
    <row r="19" spans="1:34" s="7" customFormat="1" x14ac:dyDescent="0.25">
      <c r="A19" s="3" t="s">
        <v>42</v>
      </c>
      <c r="B19" s="10">
        <f>SUM(B14:B18)</f>
        <v>0</v>
      </c>
      <c r="C19" s="10">
        <f t="shared" ref="C19:AG19" si="3">SUM(C14:C18)</f>
        <v>0</v>
      </c>
      <c r="D19" s="10">
        <f t="shared" si="3"/>
        <v>147532</v>
      </c>
      <c r="E19" s="10">
        <f t="shared" si="3"/>
        <v>0</v>
      </c>
      <c r="F19" s="10">
        <f t="shared" si="3"/>
        <v>0</v>
      </c>
      <c r="G19" s="10">
        <f t="shared" si="3"/>
        <v>0</v>
      </c>
      <c r="H19" s="10">
        <f t="shared" si="3"/>
        <v>0</v>
      </c>
      <c r="I19" s="10">
        <f t="shared" si="3"/>
        <v>0</v>
      </c>
      <c r="J19" s="10">
        <f t="shared" si="3"/>
        <v>0</v>
      </c>
      <c r="K19" s="10">
        <f t="shared" si="3"/>
        <v>0</v>
      </c>
      <c r="L19" s="10">
        <f t="shared" si="3"/>
        <v>0</v>
      </c>
      <c r="M19" s="10">
        <f t="shared" si="3"/>
        <v>0</v>
      </c>
      <c r="N19" s="10">
        <f t="shared" si="3"/>
        <v>0</v>
      </c>
      <c r="O19" s="10">
        <f t="shared" si="3"/>
        <v>0</v>
      </c>
      <c r="P19" s="10">
        <f t="shared" si="3"/>
        <v>0</v>
      </c>
      <c r="Q19" s="10">
        <f t="shared" si="3"/>
        <v>34673</v>
      </c>
      <c r="R19" s="10">
        <f t="shared" si="3"/>
        <v>0</v>
      </c>
      <c r="S19" s="10">
        <f t="shared" si="3"/>
        <v>0</v>
      </c>
      <c r="T19" s="10">
        <f t="shared" si="3"/>
        <v>347881</v>
      </c>
      <c r="U19" s="10">
        <f t="shared" si="3"/>
        <v>0</v>
      </c>
      <c r="V19" s="10">
        <f t="shared" si="3"/>
        <v>0</v>
      </c>
      <c r="W19" s="10">
        <f t="shared" si="3"/>
        <v>0</v>
      </c>
      <c r="X19" s="10">
        <f t="shared" si="3"/>
        <v>0</v>
      </c>
      <c r="Y19" s="10">
        <f t="shared" si="3"/>
        <v>0</v>
      </c>
      <c r="Z19" s="10">
        <f t="shared" si="3"/>
        <v>0</v>
      </c>
      <c r="AA19" s="10">
        <f t="shared" si="3"/>
        <v>0</v>
      </c>
      <c r="AB19" s="10">
        <f t="shared" si="3"/>
        <v>0</v>
      </c>
      <c r="AC19" s="10">
        <f t="shared" si="3"/>
        <v>0</v>
      </c>
      <c r="AD19" s="10">
        <f t="shared" si="3"/>
        <v>3188483</v>
      </c>
      <c r="AE19" s="10">
        <f t="shared" si="3"/>
        <v>1435841</v>
      </c>
      <c r="AF19" s="10">
        <f t="shared" si="3"/>
        <v>1910406</v>
      </c>
      <c r="AG19" s="10">
        <f t="shared" si="3"/>
        <v>0</v>
      </c>
      <c r="AH19" s="68">
        <f t="shared" si="2"/>
        <v>7064816</v>
      </c>
    </row>
    <row r="20" spans="1:34" x14ac:dyDescent="0.25">
      <c r="A20" s="14" t="s">
        <v>57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68"/>
    </row>
    <row r="21" spans="1:34" x14ac:dyDescent="0.25">
      <c r="A21" s="21" t="s">
        <v>58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69">
        <f t="shared" ref="AH21:AH28" si="4">SUM(B21:AG21)</f>
        <v>0</v>
      </c>
    </row>
    <row r="22" spans="1:34" x14ac:dyDescent="0.25">
      <c r="A22" s="21" t="s">
        <v>46</v>
      </c>
      <c r="B22" s="25"/>
      <c r="C22" s="25"/>
      <c r="D22" s="25">
        <v>147532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>
        <v>34673</v>
      </c>
      <c r="R22" s="25"/>
      <c r="S22" s="25"/>
      <c r="T22" s="96">
        <v>58134</v>
      </c>
      <c r="U22" s="25"/>
      <c r="V22" s="25"/>
      <c r="W22" s="25"/>
      <c r="X22" s="25"/>
      <c r="Y22" s="25"/>
      <c r="Z22" s="25"/>
      <c r="AA22" s="25"/>
      <c r="AB22" s="25"/>
      <c r="AC22" s="25"/>
      <c r="AD22" s="25">
        <v>3188483</v>
      </c>
      <c r="AE22" s="25">
        <v>1293281</v>
      </c>
      <c r="AF22" s="25">
        <v>1739820</v>
      </c>
      <c r="AG22" s="25"/>
      <c r="AH22" s="69">
        <f t="shared" si="4"/>
        <v>6461923</v>
      </c>
    </row>
    <row r="23" spans="1:34" x14ac:dyDescent="0.25">
      <c r="A23" s="21" t="s">
        <v>47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69">
        <f t="shared" si="4"/>
        <v>0</v>
      </c>
    </row>
    <row r="24" spans="1:34" x14ac:dyDescent="0.25">
      <c r="A24" s="21" t="s">
        <v>59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69">
        <f t="shared" si="4"/>
        <v>0</v>
      </c>
    </row>
    <row r="25" spans="1:34" x14ac:dyDescent="0.25">
      <c r="A25" s="21" t="s">
        <v>46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96">
        <v>289747</v>
      </c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>
        <v>170586</v>
      </c>
      <c r="AG25" s="25"/>
      <c r="AH25" s="69">
        <f t="shared" si="4"/>
        <v>460333</v>
      </c>
    </row>
    <row r="26" spans="1:34" x14ac:dyDescent="0.25">
      <c r="A26" s="21" t="s">
        <v>47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69">
        <f t="shared" si="4"/>
        <v>0</v>
      </c>
    </row>
    <row r="27" spans="1:34" x14ac:dyDescent="0.25">
      <c r="A27" s="21" t="s">
        <v>60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>
        <v>142560</v>
      </c>
      <c r="AF27" s="25"/>
      <c r="AG27" s="25"/>
      <c r="AH27" s="69">
        <f t="shared" si="4"/>
        <v>142560</v>
      </c>
    </row>
    <row r="28" spans="1:34" s="7" customFormat="1" x14ac:dyDescent="0.25">
      <c r="A28" s="3" t="s">
        <v>42</v>
      </c>
      <c r="B28" s="10">
        <f>SUM(B21:B27)</f>
        <v>0</v>
      </c>
      <c r="C28" s="10">
        <f t="shared" ref="C28:AG28" si="5">SUM(C21:C27)</f>
        <v>0</v>
      </c>
      <c r="D28" s="10">
        <f t="shared" si="5"/>
        <v>147532</v>
      </c>
      <c r="E28" s="10">
        <f t="shared" si="5"/>
        <v>0</v>
      </c>
      <c r="F28" s="10">
        <f t="shared" si="5"/>
        <v>0</v>
      </c>
      <c r="G28" s="10">
        <f t="shared" si="5"/>
        <v>0</v>
      </c>
      <c r="H28" s="10">
        <f t="shared" si="5"/>
        <v>0</v>
      </c>
      <c r="I28" s="10">
        <f t="shared" si="5"/>
        <v>0</v>
      </c>
      <c r="J28" s="10">
        <f t="shared" si="5"/>
        <v>0</v>
      </c>
      <c r="K28" s="10">
        <f t="shared" si="5"/>
        <v>0</v>
      </c>
      <c r="L28" s="10">
        <f t="shared" si="5"/>
        <v>0</v>
      </c>
      <c r="M28" s="10">
        <f t="shared" si="5"/>
        <v>0</v>
      </c>
      <c r="N28" s="10">
        <f t="shared" si="5"/>
        <v>0</v>
      </c>
      <c r="O28" s="10">
        <f t="shared" si="5"/>
        <v>0</v>
      </c>
      <c r="P28" s="10">
        <f t="shared" si="5"/>
        <v>0</v>
      </c>
      <c r="Q28" s="10">
        <f t="shared" si="5"/>
        <v>34673</v>
      </c>
      <c r="R28" s="10">
        <f t="shared" si="5"/>
        <v>0</v>
      </c>
      <c r="S28" s="10">
        <f t="shared" si="5"/>
        <v>0</v>
      </c>
      <c r="T28" s="10">
        <f t="shared" si="5"/>
        <v>347881</v>
      </c>
      <c r="U28" s="10">
        <f t="shared" si="5"/>
        <v>0</v>
      </c>
      <c r="V28" s="10">
        <f t="shared" si="5"/>
        <v>0</v>
      </c>
      <c r="W28" s="10">
        <f t="shared" si="5"/>
        <v>0</v>
      </c>
      <c r="X28" s="10">
        <f t="shared" si="5"/>
        <v>0</v>
      </c>
      <c r="Y28" s="10">
        <f t="shared" si="5"/>
        <v>0</v>
      </c>
      <c r="Z28" s="10">
        <f t="shared" si="5"/>
        <v>0</v>
      </c>
      <c r="AA28" s="10">
        <f t="shared" si="5"/>
        <v>0</v>
      </c>
      <c r="AB28" s="10">
        <f t="shared" si="5"/>
        <v>0</v>
      </c>
      <c r="AC28" s="10">
        <f t="shared" si="5"/>
        <v>0</v>
      </c>
      <c r="AD28" s="10">
        <f t="shared" si="5"/>
        <v>3188483</v>
      </c>
      <c r="AE28" s="10">
        <f t="shared" si="5"/>
        <v>1435841</v>
      </c>
      <c r="AF28" s="10">
        <f t="shared" si="5"/>
        <v>1910406</v>
      </c>
      <c r="AG28" s="10">
        <f t="shared" si="5"/>
        <v>0</v>
      </c>
      <c r="AH28" s="68">
        <f t="shared" si="4"/>
        <v>7064816</v>
      </c>
    </row>
    <row r="29" spans="1:34" x14ac:dyDescent="0.25">
      <c r="A29" s="14" t="s">
        <v>61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68"/>
    </row>
    <row r="30" spans="1:34" x14ac:dyDescent="0.25">
      <c r="A30" s="21" t="s">
        <v>62</v>
      </c>
      <c r="B30" s="25"/>
      <c r="C30" s="25"/>
      <c r="D30" s="25">
        <v>15109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96">
        <v>7168</v>
      </c>
      <c r="U30" s="25"/>
      <c r="V30" s="25"/>
      <c r="W30" s="25"/>
      <c r="X30" s="25"/>
      <c r="Y30" s="25"/>
      <c r="Z30" s="25"/>
      <c r="AA30" s="25"/>
      <c r="AB30" s="25"/>
      <c r="AC30" s="25"/>
      <c r="AD30" s="25">
        <v>47661</v>
      </c>
      <c r="AE30" s="25">
        <v>41020</v>
      </c>
      <c r="AF30" s="25">
        <v>85613</v>
      </c>
      <c r="AG30" s="25"/>
      <c r="AH30" s="69">
        <f>SUM(B30:AG30)</f>
        <v>196571</v>
      </c>
    </row>
    <row r="31" spans="1:34" x14ac:dyDescent="0.25">
      <c r="A31" s="21" t="s">
        <v>63</v>
      </c>
      <c r="B31" s="25"/>
      <c r="C31" s="25"/>
      <c r="D31" s="25">
        <v>132423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>
        <v>34673</v>
      </c>
      <c r="R31" s="25"/>
      <c r="S31" s="25"/>
      <c r="T31" s="96">
        <v>340713</v>
      </c>
      <c r="U31" s="25"/>
      <c r="V31" s="25"/>
      <c r="W31" s="25"/>
      <c r="X31" s="25"/>
      <c r="Y31" s="25"/>
      <c r="Z31" s="25"/>
      <c r="AA31" s="25"/>
      <c r="AB31" s="25"/>
      <c r="AC31" s="25"/>
      <c r="AD31" s="25">
        <v>3140822</v>
      </c>
      <c r="AE31" s="25">
        <v>1394821</v>
      </c>
      <c r="AF31" s="25">
        <v>1824793</v>
      </c>
      <c r="AG31" s="25"/>
      <c r="AH31" s="69">
        <f>SUM(B31:AG31)</f>
        <v>6868245</v>
      </c>
    </row>
    <row r="32" spans="1:34" s="7" customFormat="1" x14ac:dyDescent="0.25">
      <c r="A32" s="3" t="s">
        <v>42</v>
      </c>
      <c r="B32" s="10">
        <f>SUM(B30:B31)</f>
        <v>0</v>
      </c>
      <c r="C32" s="10">
        <f t="shared" ref="C32:AG32" si="6">SUM(C30:C31)</f>
        <v>0</v>
      </c>
      <c r="D32" s="10">
        <f t="shared" si="6"/>
        <v>147532</v>
      </c>
      <c r="E32" s="10">
        <f t="shared" si="6"/>
        <v>0</v>
      </c>
      <c r="F32" s="10">
        <f t="shared" si="6"/>
        <v>0</v>
      </c>
      <c r="G32" s="10">
        <f t="shared" si="6"/>
        <v>0</v>
      </c>
      <c r="H32" s="10">
        <f t="shared" si="6"/>
        <v>0</v>
      </c>
      <c r="I32" s="10">
        <f t="shared" si="6"/>
        <v>0</v>
      </c>
      <c r="J32" s="10">
        <f t="shared" si="6"/>
        <v>0</v>
      </c>
      <c r="K32" s="10">
        <f t="shared" si="6"/>
        <v>0</v>
      </c>
      <c r="L32" s="10">
        <f t="shared" si="6"/>
        <v>0</v>
      </c>
      <c r="M32" s="10">
        <f t="shared" si="6"/>
        <v>0</v>
      </c>
      <c r="N32" s="10">
        <f t="shared" si="6"/>
        <v>0</v>
      </c>
      <c r="O32" s="10">
        <f t="shared" si="6"/>
        <v>0</v>
      </c>
      <c r="P32" s="10">
        <f t="shared" si="6"/>
        <v>0</v>
      </c>
      <c r="Q32" s="10">
        <f t="shared" si="6"/>
        <v>34673</v>
      </c>
      <c r="R32" s="10">
        <f t="shared" si="6"/>
        <v>0</v>
      </c>
      <c r="S32" s="10">
        <f t="shared" si="6"/>
        <v>0</v>
      </c>
      <c r="T32" s="10">
        <f t="shared" si="6"/>
        <v>347881</v>
      </c>
      <c r="U32" s="10">
        <f t="shared" si="6"/>
        <v>0</v>
      </c>
      <c r="V32" s="10">
        <f t="shared" si="6"/>
        <v>0</v>
      </c>
      <c r="W32" s="10">
        <f t="shared" si="6"/>
        <v>0</v>
      </c>
      <c r="X32" s="10">
        <f t="shared" si="6"/>
        <v>0</v>
      </c>
      <c r="Y32" s="10">
        <f t="shared" si="6"/>
        <v>0</v>
      </c>
      <c r="Z32" s="10">
        <f t="shared" si="6"/>
        <v>0</v>
      </c>
      <c r="AA32" s="10">
        <f t="shared" si="6"/>
        <v>0</v>
      </c>
      <c r="AB32" s="10">
        <f t="shared" si="6"/>
        <v>0</v>
      </c>
      <c r="AC32" s="10">
        <f t="shared" si="6"/>
        <v>0</v>
      </c>
      <c r="AD32" s="10">
        <f t="shared" si="6"/>
        <v>3188483</v>
      </c>
      <c r="AE32" s="10">
        <f t="shared" si="6"/>
        <v>1435841</v>
      </c>
      <c r="AF32" s="10">
        <f t="shared" si="6"/>
        <v>1910406</v>
      </c>
      <c r="AG32" s="10">
        <f t="shared" si="6"/>
        <v>0</v>
      </c>
      <c r="AH32" s="68">
        <f>SUM(B32:AG32)</f>
        <v>7064816</v>
      </c>
    </row>
    <row r="52" spans="31:31" x14ac:dyDescent="0.25">
      <c r="AE52" s="23">
        <v>1108872</v>
      </c>
    </row>
    <row r="53" spans="31:31" x14ac:dyDescent="0.25">
      <c r="AE53" s="23">
        <v>263612</v>
      </c>
    </row>
    <row r="54" spans="31:31" x14ac:dyDescent="0.25">
      <c r="AE54" s="23">
        <f>SUM(AE52:AE53)</f>
        <v>1372484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76" customWidth="1"/>
    <col min="2" max="17" width="16" style="76" customWidth="1"/>
    <col min="18" max="18" width="18.140625" style="76" customWidth="1"/>
    <col min="19" max="30" width="16" style="76" customWidth="1"/>
    <col min="31" max="31" width="16" style="47" customWidth="1"/>
    <col min="32" max="33" width="16" style="76" customWidth="1"/>
    <col min="34" max="34" width="16" style="7" customWidth="1"/>
    <col min="35" max="16384" width="9.140625" style="76"/>
  </cols>
  <sheetData>
    <row r="1" spans="1:34" ht="18.75" x14ac:dyDescent="0.3">
      <c r="A1" s="12" t="s">
        <v>302</v>
      </c>
    </row>
    <row r="2" spans="1:34" x14ac:dyDescent="0.25">
      <c r="A2" s="5" t="s">
        <v>34</v>
      </c>
    </row>
    <row r="3" spans="1:34" x14ac:dyDescent="0.25">
      <c r="A3" s="1" t="s">
        <v>0</v>
      </c>
      <c r="B3" s="75" t="s">
        <v>1</v>
      </c>
      <c r="C3" s="75" t="s">
        <v>282</v>
      </c>
      <c r="D3" s="75" t="s">
        <v>2</v>
      </c>
      <c r="E3" s="75" t="s">
        <v>3</v>
      </c>
      <c r="F3" s="75" t="s">
        <v>4</v>
      </c>
      <c r="G3" s="75" t="s">
        <v>283</v>
      </c>
      <c r="H3" s="75" t="s">
        <v>6</v>
      </c>
      <c r="I3" s="75" t="s">
        <v>5</v>
      </c>
      <c r="J3" s="75" t="s">
        <v>7</v>
      </c>
      <c r="K3" s="75" t="s">
        <v>284</v>
      </c>
      <c r="L3" s="75" t="s">
        <v>8</v>
      </c>
      <c r="M3" s="75" t="s">
        <v>9</v>
      </c>
      <c r="N3" s="75" t="s">
        <v>10</v>
      </c>
      <c r="O3" s="75" t="s">
        <v>295</v>
      </c>
      <c r="P3" s="75" t="s">
        <v>11</v>
      </c>
      <c r="Q3" s="75" t="s">
        <v>12</v>
      </c>
      <c r="R3" s="75" t="s">
        <v>285</v>
      </c>
      <c r="S3" s="75" t="s">
        <v>290</v>
      </c>
      <c r="T3" s="75" t="s">
        <v>13</v>
      </c>
      <c r="U3" s="75" t="s">
        <v>286</v>
      </c>
      <c r="V3" s="75" t="s">
        <v>287</v>
      </c>
      <c r="W3" s="75" t="s">
        <v>291</v>
      </c>
      <c r="X3" s="75" t="s">
        <v>294</v>
      </c>
      <c r="Y3" s="75" t="s">
        <v>14</v>
      </c>
      <c r="Z3" s="75" t="s">
        <v>15</v>
      </c>
      <c r="AA3" s="75" t="s">
        <v>16</v>
      </c>
      <c r="AB3" s="75" t="s">
        <v>17</v>
      </c>
      <c r="AC3" s="75" t="s">
        <v>18</v>
      </c>
      <c r="AD3" s="87" t="s">
        <v>288</v>
      </c>
      <c r="AE3" s="104" t="s">
        <v>289</v>
      </c>
      <c r="AF3" s="87" t="s">
        <v>19</v>
      </c>
      <c r="AG3" s="75" t="s">
        <v>20</v>
      </c>
      <c r="AH3" s="86" t="s">
        <v>21</v>
      </c>
    </row>
    <row r="4" spans="1:34" x14ac:dyDescent="0.25">
      <c r="A4" s="2" t="s">
        <v>64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50"/>
      <c r="AF4" s="84"/>
      <c r="AG4" s="84"/>
      <c r="AH4" s="68">
        <f t="shared" ref="AH4:AH19" si="0">SUM(B4:AG4)</f>
        <v>0</v>
      </c>
    </row>
    <row r="5" spans="1:34" x14ac:dyDescent="0.25">
      <c r="A5" s="2" t="s">
        <v>65</v>
      </c>
      <c r="B5" s="84">
        <v>27995</v>
      </c>
      <c r="C5" s="84">
        <v>584944</v>
      </c>
      <c r="D5" s="84">
        <v>739087</v>
      </c>
      <c r="E5" s="84">
        <v>372170</v>
      </c>
      <c r="F5" s="84">
        <v>84857</v>
      </c>
      <c r="G5" s="84">
        <v>197885</v>
      </c>
      <c r="H5" s="103">
        <v>21199.57</v>
      </c>
      <c r="I5" s="84">
        <v>103573</v>
      </c>
      <c r="J5" s="84">
        <v>65652</v>
      </c>
      <c r="K5" s="84">
        <v>8182</v>
      </c>
      <c r="L5" s="84">
        <v>441120</v>
      </c>
      <c r="M5" s="84">
        <v>2106227</v>
      </c>
      <c r="N5" s="84">
        <v>200266</v>
      </c>
      <c r="O5" s="84"/>
      <c r="P5" s="84">
        <v>148567</v>
      </c>
      <c r="Q5" s="84">
        <v>187423</v>
      </c>
      <c r="R5" s="103">
        <v>53507</v>
      </c>
      <c r="S5" s="84">
        <v>280583</v>
      </c>
      <c r="T5" s="84">
        <v>608907</v>
      </c>
      <c r="U5" s="84"/>
      <c r="V5" s="84">
        <v>28934</v>
      </c>
      <c r="W5" s="84">
        <v>237359</v>
      </c>
      <c r="X5" s="84">
        <v>290523</v>
      </c>
      <c r="Y5" s="84">
        <v>90588</v>
      </c>
      <c r="Z5" s="84">
        <v>673876</v>
      </c>
      <c r="AA5" s="84">
        <v>13484</v>
      </c>
      <c r="AB5" s="84">
        <v>287214</v>
      </c>
      <c r="AC5" s="84">
        <v>932640</v>
      </c>
      <c r="AD5" s="84">
        <v>121335</v>
      </c>
      <c r="AE5" s="50">
        <v>47446</v>
      </c>
      <c r="AF5" s="84">
        <v>14253</v>
      </c>
      <c r="AG5" s="50">
        <v>36567</v>
      </c>
      <c r="AH5" s="69">
        <f t="shared" si="0"/>
        <v>9006363.5700000003</v>
      </c>
    </row>
    <row r="6" spans="1:34" x14ac:dyDescent="0.25">
      <c r="A6" s="2" t="s">
        <v>66</v>
      </c>
      <c r="B6" s="84"/>
      <c r="C6" s="84"/>
      <c r="D6" s="84"/>
      <c r="E6" s="84">
        <v>888197</v>
      </c>
      <c r="F6" s="84"/>
      <c r="G6" s="84">
        <v>58718</v>
      </c>
      <c r="H6" s="103">
        <v>748152.33</v>
      </c>
      <c r="I6" s="84"/>
      <c r="J6" s="84"/>
      <c r="K6" s="84"/>
      <c r="L6" s="84"/>
      <c r="M6" s="84">
        <v>2411770</v>
      </c>
      <c r="N6" s="84">
        <v>37849</v>
      </c>
      <c r="O6" s="84"/>
      <c r="P6" s="84"/>
      <c r="Q6" s="84"/>
      <c r="R6" s="103"/>
      <c r="S6" s="84"/>
      <c r="T6" s="84">
        <v>6452</v>
      </c>
      <c r="U6" s="84"/>
      <c r="V6" s="84"/>
      <c r="W6" s="84"/>
      <c r="X6" s="84"/>
      <c r="Y6" s="84"/>
      <c r="Z6" s="84"/>
      <c r="AA6" s="84"/>
      <c r="AB6" s="84"/>
      <c r="AC6" s="84">
        <v>70797</v>
      </c>
      <c r="AD6" s="84">
        <v>134390</v>
      </c>
      <c r="AE6" s="50">
        <v>59546</v>
      </c>
      <c r="AF6" s="84">
        <v>131793</v>
      </c>
      <c r="AG6" s="50"/>
      <c r="AH6" s="69">
        <f t="shared" si="0"/>
        <v>4547664.33</v>
      </c>
    </row>
    <row r="7" spans="1:34" x14ac:dyDescent="0.25">
      <c r="A7" s="2" t="s">
        <v>67</v>
      </c>
      <c r="B7" s="84"/>
      <c r="C7" s="84"/>
      <c r="D7" s="84"/>
      <c r="E7" s="84"/>
      <c r="F7" s="84"/>
      <c r="G7" s="84"/>
      <c r="H7" s="103"/>
      <c r="I7" s="84">
        <v>903</v>
      </c>
      <c r="J7" s="84"/>
      <c r="K7" s="84"/>
      <c r="L7" s="84"/>
      <c r="M7" s="84"/>
      <c r="N7" s="84"/>
      <c r="O7" s="84"/>
      <c r="P7" s="84"/>
      <c r="Q7" s="84"/>
      <c r="R7" s="103"/>
      <c r="S7" s="84"/>
      <c r="T7" s="84">
        <v>289324</v>
      </c>
      <c r="U7" s="84"/>
      <c r="V7" s="84"/>
      <c r="W7" s="84"/>
      <c r="X7" s="84"/>
      <c r="Y7" s="84"/>
      <c r="Z7" s="84"/>
      <c r="AA7" s="84">
        <v>208614</v>
      </c>
      <c r="AB7" s="84">
        <v>11600</v>
      </c>
      <c r="AC7" s="84"/>
      <c r="AD7" s="84">
        <v>287244</v>
      </c>
      <c r="AE7" s="50">
        <v>3590326</v>
      </c>
      <c r="AF7" s="84">
        <v>17669</v>
      </c>
      <c r="AG7" s="50"/>
      <c r="AH7" s="69">
        <f t="shared" si="0"/>
        <v>4405680</v>
      </c>
    </row>
    <row r="8" spans="1:34" x14ac:dyDescent="0.25">
      <c r="A8" s="2" t="s">
        <v>68</v>
      </c>
      <c r="B8" s="84">
        <v>14</v>
      </c>
      <c r="C8" s="84">
        <v>87206</v>
      </c>
      <c r="D8" s="84">
        <v>948930</v>
      </c>
      <c r="E8" s="84">
        <v>17325</v>
      </c>
      <c r="F8" s="84">
        <v>8473</v>
      </c>
      <c r="G8" s="84"/>
      <c r="H8" s="103">
        <v>546287.37</v>
      </c>
      <c r="I8" s="84"/>
      <c r="J8" s="84">
        <v>49269</v>
      </c>
      <c r="K8" s="84">
        <v>52741</v>
      </c>
      <c r="L8" s="84">
        <v>15756</v>
      </c>
      <c r="M8" s="84"/>
      <c r="N8" s="84"/>
      <c r="O8" s="84"/>
      <c r="P8" s="84"/>
      <c r="Q8" s="84">
        <v>10975</v>
      </c>
      <c r="R8" s="103">
        <v>6899</v>
      </c>
      <c r="S8" s="84">
        <v>70155</v>
      </c>
      <c r="T8" s="84"/>
      <c r="U8" s="84">
        <v>629</v>
      </c>
      <c r="V8" s="84">
        <v>7961</v>
      </c>
      <c r="W8" s="84">
        <v>19542</v>
      </c>
      <c r="X8" s="84">
        <v>11642</v>
      </c>
      <c r="Y8" s="84">
        <v>39788</v>
      </c>
      <c r="Z8" s="84">
        <v>137018</v>
      </c>
      <c r="AA8" s="84">
        <v>8611</v>
      </c>
      <c r="AB8" s="84"/>
      <c r="AC8" s="84">
        <v>46460</v>
      </c>
      <c r="AD8" s="84"/>
      <c r="AE8" s="50"/>
      <c r="AF8" s="84">
        <v>185833</v>
      </c>
      <c r="AG8" s="50">
        <v>78</v>
      </c>
      <c r="AH8" s="69">
        <f t="shared" si="0"/>
        <v>2271592.37</v>
      </c>
    </row>
    <row r="9" spans="1:34" x14ac:dyDescent="0.25">
      <c r="A9" s="2" t="s">
        <v>69</v>
      </c>
      <c r="B9" s="84"/>
      <c r="C9" s="84"/>
      <c r="D9" s="84">
        <v>269331</v>
      </c>
      <c r="E9" s="84">
        <v>2215360</v>
      </c>
      <c r="F9" s="84"/>
      <c r="G9" s="84">
        <v>314825</v>
      </c>
      <c r="H9" s="103">
        <v>276782.01</v>
      </c>
      <c r="I9" s="84"/>
      <c r="J9" s="84"/>
      <c r="K9" s="84"/>
      <c r="L9" s="84">
        <v>1356524</v>
      </c>
      <c r="M9" s="84">
        <v>374203</v>
      </c>
      <c r="N9" s="84">
        <v>10036</v>
      </c>
      <c r="O9" s="84"/>
      <c r="P9" s="84"/>
      <c r="Q9" s="84"/>
      <c r="R9" s="103"/>
      <c r="S9" s="84"/>
      <c r="T9" s="84">
        <v>762665</v>
      </c>
      <c r="U9" s="84"/>
      <c r="V9" s="84"/>
      <c r="W9" s="84"/>
      <c r="X9" s="84"/>
      <c r="Y9" s="84"/>
      <c r="Z9" s="84"/>
      <c r="AA9" s="84">
        <v>143233</v>
      </c>
      <c r="AB9" s="84">
        <v>63077</v>
      </c>
      <c r="AC9" s="84">
        <v>750476</v>
      </c>
      <c r="AD9" s="84">
        <v>1272935</v>
      </c>
      <c r="AE9" s="50">
        <v>576141</v>
      </c>
      <c r="AF9" s="84">
        <v>349399</v>
      </c>
      <c r="AG9" s="84"/>
      <c r="AH9" s="69">
        <f t="shared" si="0"/>
        <v>8734987.0099999998</v>
      </c>
    </row>
    <row r="10" spans="1:34" x14ac:dyDescent="0.25">
      <c r="A10" s="2" t="s">
        <v>70</v>
      </c>
      <c r="B10" s="84">
        <v>409</v>
      </c>
      <c r="C10" s="84">
        <v>5018</v>
      </c>
      <c r="D10" s="84">
        <v>46089</v>
      </c>
      <c r="E10" s="84">
        <v>97191</v>
      </c>
      <c r="F10" s="84">
        <v>9667</v>
      </c>
      <c r="G10" s="84">
        <v>4642</v>
      </c>
      <c r="H10" s="103">
        <v>27125.84</v>
      </c>
      <c r="I10" s="84">
        <v>3572</v>
      </c>
      <c r="J10" s="84">
        <v>15394</v>
      </c>
      <c r="K10" s="84">
        <v>12266</v>
      </c>
      <c r="L10" s="84">
        <v>195468</v>
      </c>
      <c r="M10" s="84">
        <v>437153</v>
      </c>
      <c r="N10" s="84">
        <v>291079</v>
      </c>
      <c r="O10" s="84"/>
      <c r="P10" s="84">
        <v>1102</v>
      </c>
      <c r="Q10" s="84">
        <v>436</v>
      </c>
      <c r="R10" s="103">
        <v>2915</v>
      </c>
      <c r="S10" s="84">
        <v>12626</v>
      </c>
      <c r="T10" s="84">
        <v>118040</v>
      </c>
      <c r="U10" s="84">
        <v>2867</v>
      </c>
      <c r="V10" s="84">
        <v>3938</v>
      </c>
      <c r="W10" s="84">
        <v>20283</v>
      </c>
      <c r="X10" s="84">
        <v>196</v>
      </c>
      <c r="Y10" s="84">
        <v>9513</v>
      </c>
      <c r="Z10" s="84">
        <v>29042</v>
      </c>
      <c r="AA10" s="84">
        <v>36381</v>
      </c>
      <c r="AB10" s="84">
        <v>106181</v>
      </c>
      <c r="AC10" s="84">
        <v>13255</v>
      </c>
      <c r="AD10" s="84">
        <v>330660</v>
      </c>
      <c r="AE10" s="50">
        <v>84945</v>
      </c>
      <c r="AF10" s="84">
        <v>53094</v>
      </c>
      <c r="AG10" s="84">
        <v>12694</v>
      </c>
      <c r="AH10" s="69">
        <f t="shared" si="0"/>
        <v>1983241.8399999999</v>
      </c>
    </row>
    <row r="11" spans="1:34" x14ac:dyDescent="0.25">
      <c r="A11" s="2" t="s">
        <v>71</v>
      </c>
      <c r="B11" s="84">
        <v>12457</v>
      </c>
      <c r="C11" s="84">
        <v>77149</v>
      </c>
      <c r="D11" s="84">
        <v>316580</v>
      </c>
      <c r="E11" s="84">
        <v>324265</v>
      </c>
      <c r="F11" s="84">
        <v>56456</v>
      </c>
      <c r="G11" s="84">
        <v>77502</v>
      </c>
      <c r="H11" s="103">
        <v>31280.33</v>
      </c>
      <c r="I11" s="84">
        <v>3405</v>
      </c>
      <c r="J11" s="84">
        <v>82540</v>
      </c>
      <c r="K11" s="84">
        <v>103286</v>
      </c>
      <c r="L11" s="84">
        <v>339638</v>
      </c>
      <c r="M11" s="84">
        <v>253633</v>
      </c>
      <c r="N11" s="84">
        <v>171529</v>
      </c>
      <c r="O11" s="84"/>
      <c r="P11" s="84">
        <v>64155</v>
      </c>
      <c r="Q11" s="84">
        <v>24302</v>
      </c>
      <c r="R11" s="103">
        <v>76889</v>
      </c>
      <c r="S11" s="84">
        <v>59463</v>
      </c>
      <c r="T11" s="84">
        <f>107526+462361</f>
        <v>569887</v>
      </c>
      <c r="U11" s="84"/>
      <c r="V11" s="84">
        <v>11061</v>
      </c>
      <c r="W11" s="84">
        <v>47499</v>
      </c>
      <c r="X11" s="84">
        <v>139817</v>
      </c>
      <c r="Y11" s="84">
        <v>101259</v>
      </c>
      <c r="Z11" s="84">
        <v>261898</v>
      </c>
      <c r="AA11" s="84">
        <v>25784</v>
      </c>
      <c r="AB11" s="84">
        <v>233942</v>
      </c>
      <c r="AC11" s="84">
        <v>361827</v>
      </c>
      <c r="AD11" s="84">
        <v>769527</v>
      </c>
      <c r="AE11" s="50">
        <v>405378</v>
      </c>
      <c r="AF11" s="84">
        <v>125264</v>
      </c>
      <c r="AG11" s="84">
        <v>243921</v>
      </c>
      <c r="AH11" s="69">
        <f t="shared" si="0"/>
        <v>5371593.3300000001</v>
      </c>
    </row>
    <row r="12" spans="1:34" x14ac:dyDescent="0.25">
      <c r="A12" s="2" t="s">
        <v>72</v>
      </c>
      <c r="B12" s="84"/>
      <c r="C12" s="84">
        <v>5218</v>
      </c>
      <c r="D12" s="84">
        <v>10378</v>
      </c>
      <c r="E12" s="84">
        <v>52714</v>
      </c>
      <c r="F12" s="84"/>
      <c r="G12" s="84">
        <v>17575</v>
      </c>
      <c r="H12" s="103">
        <v>37286.44</v>
      </c>
      <c r="I12" s="84"/>
      <c r="J12" s="84">
        <v>638</v>
      </c>
      <c r="K12" s="84"/>
      <c r="L12" s="84">
        <v>79161</v>
      </c>
      <c r="M12" s="84">
        <v>72139</v>
      </c>
      <c r="N12" s="84">
        <v>18746</v>
      </c>
      <c r="O12" s="84"/>
      <c r="P12" s="84">
        <v>2362</v>
      </c>
      <c r="Q12" s="84">
        <v>3783</v>
      </c>
      <c r="R12" s="103"/>
      <c r="S12" s="84"/>
      <c r="T12" s="84">
        <v>372619</v>
      </c>
      <c r="U12" s="84"/>
      <c r="V12" s="84"/>
      <c r="W12" s="84">
        <v>3328</v>
      </c>
      <c r="X12" s="84"/>
      <c r="Y12" s="84">
        <v>2545</v>
      </c>
      <c r="Z12" s="84">
        <v>207</v>
      </c>
      <c r="AA12" s="84">
        <v>196</v>
      </c>
      <c r="AB12" s="84">
        <v>22389</v>
      </c>
      <c r="AC12" s="84">
        <v>25990</v>
      </c>
      <c r="AD12" s="84">
        <v>924821</v>
      </c>
      <c r="AE12" s="50">
        <v>392819</v>
      </c>
      <c r="AF12" s="84">
        <v>336626</v>
      </c>
      <c r="AG12" s="84">
        <v>5536</v>
      </c>
      <c r="AH12" s="69">
        <f t="shared" si="0"/>
        <v>2387076.44</v>
      </c>
    </row>
    <row r="13" spans="1:34" x14ac:dyDescent="0.25">
      <c r="A13" s="2" t="s">
        <v>73</v>
      </c>
      <c r="B13" s="84">
        <v>1144</v>
      </c>
      <c r="C13" s="84">
        <v>18794</v>
      </c>
      <c r="D13" s="84">
        <v>4692</v>
      </c>
      <c r="E13" s="84">
        <v>54497</v>
      </c>
      <c r="F13" s="84">
        <v>9053</v>
      </c>
      <c r="G13" s="84">
        <v>5048</v>
      </c>
      <c r="H13" s="103">
        <v>9186.75</v>
      </c>
      <c r="I13" s="84">
        <v>1670</v>
      </c>
      <c r="J13" s="84">
        <v>27151</v>
      </c>
      <c r="K13" s="84">
        <v>39332</v>
      </c>
      <c r="L13" s="84">
        <v>76507</v>
      </c>
      <c r="M13" s="84">
        <v>475926</v>
      </c>
      <c r="N13" s="84">
        <v>46708</v>
      </c>
      <c r="O13" s="84"/>
      <c r="P13" s="84">
        <v>11796</v>
      </c>
      <c r="Q13" s="84">
        <v>574</v>
      </c>
      <c r="R13" s="103">
        <v>5506</v>
      </c>
      <c r="S13" s="84">
        <v>36055</v>
      </c>
      <c r="T13" s="84">
        <v>16187</v>
      </c>
      <c r="U13" s="84">
        <v>2780</v>
      </c>
      <c r="V13" s="84">
        <v>805</v>
      </c>
      <c r="W13" s="84">
        <v>47238</v>
      </c>
      <c r="X13" s="84">
        <v>28124</v>
      </c>
      <c r="Y13" s="84">
        <v>15448</v>
      </c>
      <c r="Z13" s="84">
        <v>48089</v>
      </c>
      <c r="AA13" s="84">
        <v>17058</v>
      </c>
      <c r="AB13" s="84">
        <v>72688</v>
      </c>
      <c r="AC13" s="84">
        <v>30038</v>
      </c>
      <c r="AD13" s="84">
        <v>19861</v>
      </c>
      <c r="AE13" s="50">
        <v>12588</v>
      </c>
      <c r="AF13" s="84">
        <v>16956</v>
      </c>
      <c r="AG13" s="84">
        <v>5229</v>
      </c>
      <c r="AH13" s="69">
        <f t="shared" si="0"/>
        <v>1156728.75</v>
      </c>
    </row>
    <row r="14" spans="1:34" x14ac:dyDescent="0.25">
      <c r="A14" s="2" t="s">
        <v>74</v>
      </c>
      <c r="B14" s="84"/>
      <c r="C14" s="84"/>
      <c r="D14" s="84">
        <v>4204</v>
      </c>
      <c r="E14" s="84"/>
      <c r="F14" s="84"/>
      <c r="G14" s="84">
        <v>8251</v>
      </c>
      <c r="H14" s="103"/>
      <c r="I14" s="84"/>
      <c r="J14" s="84"/>
      <c r="K14" s="84"/>
      <c r="L14" s="84"/>
      <c r="M14" s="84"/>
      <c r="N14" s="84"/>
      <c r="O14" s="84"/>
      <c r="P14" s="84"/>
      <c r="Q14" s="84">
        <v>3038</v>
      </c>
      <c r="R14" s="103"/>
      <c r="S14" s="84"/>
      <c r="T14" s="84">
        <v>89482</v>
      </c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50"/>
      <c r="AF14" s="84"/>
      <c r="AG14" s="84"/>
      <c r="AH14" s="69">
        <f t="shared" si="0"/>
        <v>104975</v>
      </c>
    </row>
    <row r="15" spans="1:34" x14ac:dyDescent="0.25">
      <c r="A15" s="2" t="s">
        <v>75</v>
      </c>
      <c r="B15" s="84">
        <f>B16-B14-B13-B12-B11-B10-B9-B8-B7-B6-B5-B4</f>
        <v>0</v>
      </c>
      <c r="C15" s="84">
        <f t="shared" ref="C15:AG15" si="1">C16-C14-C13-C12-C11-C10-C9-C8-C7-C6-C5-C4</f>
        <v>-1</v>
      </c>
      <c r="D15" s="84">
        <f t="shared" si="1"/>
        <v>0</v>
      </c>
      <c r="E15" s="84">
        <f t="shared" si="1"/>
        <v>0</v>
      </c>
      <c r="F15" s="84">
        <f t="shared" si="1"/>
        <v>0</v>
      </c>
      <c r="G15" s="84">
        <f t="shared" si="1"/>
        <v>25502</v>
      </c>
      <c r="H15" s="103">
        <f>H16-H14-H13-H12-H11-H10-H9-H8-H7-H6-H5-H4</f>
        <v>-1.673470251262188E-10</v>
      </c>
      <c r="I15" s="84">
        <f t="shared" si="1"/>
        <v>0</v>
      </c>
      <c r="J15" s="84">
        <f t="shared" si="1"/>
        <v>-1</v>
      </c>
      <c r="K15" s="84">
        <f t="shared" si="1"/>
        <v>0</v>
      </c>
      <c r="L15" s="84">
        <f t="shared" si="1"/>
        <v>0</v>
      </c>
      <c r="M15" s="84">
        <f t="shared" si="1"/>
        <v>0</v>
      </c>
      <c r="N15" s="84">
        <f t="shared" si="1"/>
        <v>0</v>
      </c>
      <c r="O15" s="84">
        <f t="shared" si="1"/>
        <v>0</v>
      </c>
      <c r="P15" s="84">
        <f t="shared" si="1"/>
        <v>21674</v>
      </c>
      <c r="Q15" s="84">
        <f t="shared" si="1"/>
        <v>0</v>
      </c>
      <c r="R15" s="103">
        <f t="shared" si="1"/>
        <v>0</v>
      </c>
      <c r="S15" s="84">
        <f t="shared" si="1"/>
        <v>0</v>
      </c>
      <c r="T15" s="84">
        <f t="shared" si="1"/>
        <v>1914</v>
      </c>
      <c r="U15" s="84">
        <f t="shared" si="1"/>
        <v>0</v>
      </c>
      <c r="V15" s="84">
        <f t="shared" si="1"/>
        <v>0</v>
      </c>
      <c r="W15" s="84">
        <f t="shared" si="1"/>
        <v>33</v>
      </c>
      <c r="X15" s="84">
        <f t="shared" si="1"/>
        <v>0</v>
      </c>
      <c r="Y15" s="84">
        <f t="shared" si="1"/>
        <v>0</v>
      </c>
      <c r="Z15" s="84">
        <f t="shared" si="1"/>
        <v>0</v>
      </c>
      <c r="AA15" s="84">
        <f t="shared" si="1"/>
        <v>0</v>
      </c>
      <c r="AB15" s="84">
        <f t="shared" si="1"/>
        <v>129</v>
      </c>
      <c r="AC15" s="84">
        <f t="shared" si="1"/>
        <v>0</v>
      </c>
      <c r="AD15" s="84">
        <f t="shared" si="1"/>
        <v>209494</v>
      </c>
      <c r="AE15" s="50">
        <f t="shared" si="1"/>
        <v>92690</v>
      </c>
      <c r="AF15" s="84">
        <f t="shared" si="1"/>
        <v>118646</v>
      </c>
      <c r="AG15" s="84">
        <f t="shared" si="1"/>
        <v>0</v>
      </c>
      <c r="AH15" s="69">
        <f t="shared" si="0"/>
        <v>470079.99999999983</v>
      </c>
    </row>
    <row r="16" spans="1:34" s="7" customFormat="1" x14ac:dyDescent="0.25">
      <c r="A16" s="3" t="s">
        <v>42</v>
      </c>
      <c r="B16" s="10">
        <v>42019</v>
      </c>
      <c r="C16" s="10">
        <v>778328</v>
      </c>
      <c r="D16" s="10">
        <v>2339291</v>
      </c>
      <c r="E16" s="10">
        <v>4021719</v>
      </c>
      <c r="F16" s="10">
        <v>168506</v>
      </c>
      <c r="G16" s="10">
        <v>709948</v>
      </c>
      <c r="H16" s="10">
        <v>1697300.64</v>
      </c>
      <c r="I16" s="10">
        <v>113123</v>
      </c>
      <c r="J16" s="10">
        <v>240643</v>
      </c>
      <c r="K16" s="10">
        <v>215807</v>
      </c>
      <c r="L16" s="10">
        <v>2504174</v>
      </c>
      <c r="M16" s="10">
        <v>6131051</v>
      </c>
      <c r="N16" s="10">
        <v>776213</v>
      </c>
      <c r="O16" s="10"/>
      <c r="P16" s="10">
        <v>249656</v>
      </c>
      <c r="Q16" s="10">
        <v>230531</v>
      </c>
      <c r="R16" s="10">
        <v>145716</v>
      </c>
      <c r="S16" s="10">
        <v>458882</v>
      </c>
      <c r="T16" s="10">
        <v>2835477</v>
      </c>
      <c r="U16" s="10">
        <v>6276</v>
      </c>
      <c r="V16" s="10">
        <v>52699</v>
      </c>
      <c r="W16" s="10">
        <v>375282</v>
      </c>
      <c r="X16" s="10">
        <v>470302</v>
      </c>
      <c r="Y16" s="10">
        <v>259141</v>
      </c>
      <c r="Z16" s="10">
        <v>1150130</v>
      </c>
      <c r="AA16" s="10">
        <v>453361</v>
      </c>
      <c r="AB16" s="84">
        <v>797220</v>
      </c>
      <c r="AC16" s="10">
        <v>2231483</v>
      </c>
      <c r="AD16" s="10">
        <v>4070267</v>
      </c>
      <c r="AE16" s="52">
        <v>5261879</v>
      </c>
      <c r="AF16" s="10">
        <v>1349533</v>
      </c>
      <c r="AG16" s="10">
        <v>304025</v>
      </c>
      <c r="AH16" s="68">
        <f t="shared" si="0"/>
        <v>40439982.640000001</v>
      </c>
    </row>
    <row r="17" spans="1:34" x14ac:dyDescent="0.25">
      <c r="A17" s="2" t="s">
        <v>76</v>
      </c>
      <c r="B17" s="84"/>
      <c r="C17" s="80">
        <v>4419</v>
      </c>
      <c r="D17" s="84"/>
      <c r="E17" s="84">
        <v>249339</v>
      </c>
      <c r="F17" s="84">
        <v>8830</v>
      </c>
      <c r="G17" s="84">
        <v>16774</v>
      </c>
      <c r="H17" s="103">
        <v>1339070.1200000001</v>
      </c>
      <c r="I17" s="84">
        <v>16497</v>
      </c>
      <c r="J17" s="84">
        <v>170344</v>
      </c>
      <c r="K17" s="84">
        <v>808273</v>
      </c>
      <c r="L17" s="84">
        <v>229430</v>
      </c>
      <c r="M17" s="84">
        <v>137291</v>
      </c>
      <c r="N17" s="84">
        <v>121783</v>
      </c>
      <c r="O17" s="84"/>
      <c r="P17" s="84"/>
      <c r="Q17" s="84"/>
      <c r="R17" s="103">
        <v>138672</v>
      </c>
      <c r="S17" s="84">
        <v>16320</v>
      </c>
      <c r="T17" s="84">
        <v>2255700</v>
      </c>
      <c r="U17" s="84"/>
      <c r="V17" s="84">
        <v>18653</v>
      </c>
      <c r="W17" s="84">
        <v>110505</v>
      </c>
      <c r="X17" s="84">
        <v>19684</v>
      </c>
      <c r="Y17" s="84">
        <v>8856</v>
      </c>
      <c r="Z17" s="84">
        <v>985732</v>
      </c>
      <c r="AA17" s="84"/>
      <c r="AB17" s="84">
        <v>192452</v>
      </c>
      <c r="AC17" s="84">
        <v>139355</v>
      </c>
      <c r="AD17" s="84">
        <v>156578</v>
      </c>
      <c r="AE17" s="50">
        <v>282333</v>
      </c>
      <c r="AF17" s="84">
        <v>1231276</v>
      </c>
      <c r="AG17" s="84">
        <v>10265</v>
      </c>
      <c r="AH17" s="69">
        <f t="shared" si="0"/>
        <v>8668431.120000001</v>
      </c>
    </row>
    <row r="18" spans="1:34" ht="30" x14ac:dyDescent="0.25">
      <c r="A18" s="2" t="s">
        <v>77</v>
      </c>
      <c r="B18" s="84"/>
      <c r="C18" s="80">
        <v>162424</v>
      </c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50"/>
      <c r="AF18" s="84"/>
      <c r="AG18" s="84"/>
      <c r="AH18" s="69">
        <f t="shared" si="0"/>
        <v>162424</v>
      </c>
    </row>
    <row r="19" spans="1:34" s="7" customFormat="1" x14ac:dyDescent="0.25">
      <c r="A19" s="3" t="s">
        <v>78</v>
      </c>
      <c r="B19" s="10">
        <f>B16+B17+B18</f>
        <v>42019</v>
      </c>
      <c r="C19" s="81">
        <f t="shared" ref="C19:AG19" si="2">C16+C17+C18</f>
        <v>945171</v>
      </c>
      <c r="D19" s="10">
        <f t="shared" si="2"/>
        <v>2339291</v>
      </c>
      <c r="E19" s="10">
        <f t="shared" si="2"/>
        <v>4271058</v>
      </c>
      <c r="F19" s="10">
        <f t="shared" si="2"/>
        <v>177336</v>
      </c>
      <c r="G19" s="10">
        <f t="shared" si="2"/>
        <v>726722</v>
      </c>
      <c r="H19" s="10">
        <f t="shared" si="2"/>
        <v>3036370.76</v>
      </c>
      <c r="I19" s="10">
        <f t="shared" si="2"/>
        <v>129620</v>
      </c>
      <c r="J19" s="10">
        <f t="shared" si="2"/>
        <v>410987</v>
      </c>
      <c r="K19" s="10">
        <f t="shared" si="2"/>
        <v>1024080</v>
      </c>
      <c r="L19" s="10">
        <f t="shared" si="2"/>
        <v>2733604</v>
      </c>
      <c r="M19" s="10">
        <f t="shared" si="2"/>
        <v>6268342</v>
      </c>
      <c r="N19" s="10">
        <f t="shared" si="2"/>
        <v>897996</v>
      </c>
      <c r="O19" s="10">
        <f t="shared" si="2"/>
        <v>0</v>
      </c>
      <c r="P19" s="10">
        <f t="shared" si="2"/>
        <v>249656</v>
      </c>
      <c r="Q19" s="10">
        <f t="shared" si="2"/>
        <v>230531</v>
      </c>
      <c r="R19" s="10">
        <f t="shared" si="2"/>
        <v>284388</v>
      </c>
      <c r="S19" s="10">
        <f t="shared" si="2"/>
        <v>475202</v>
      </c>
      <c r="T19" s="10">
        <f t="shared" si="2"/>
        <v>5091177</v>
      </c>
      <c r="U19" s="10">
        <f t="shared" si="2"/>
        <v>6276</v>
      </c>
      <c r="V19" s="10">
        <f t="shared" si="2"/>
        <v>71352</v>
      </c>
      <c r="W19" s="10">
        <f t="shared" si="2"/>
        <v>485787</v>
      </c>
      <c r="X19" s="10">
        <f t="shared" si="2"/>
        <v>489986</v>
      </c>
      <c r="Y19" s="10">
        <f t="shared" si="2"/>
        <v>267997</v>
      </c>
      <c r="Z19" s="10">
        <f t="shared" si="2"/>
        <v>2135862</v>
      </c>
      <c r="AA19" s="10">
        <f t="shared" si="2"/>
        <v>453361</v>
      </c>
      <c r="AB19" s="10">
        <f t="shared" si="2"/>
        <v>989672</v>
      </c>
      <c r="AC19" s="10">
        <f t="shared" si="2"/>
        <v>2370838</v>
      </c>
      <c r="AD19" s="10">
        <f t="shared" si="2"/>
        <v>4226845</v>
      </c>
      <c r="AE19" s="52">
        <f t="shared" si="2"/>
        <v>5544212</v>
      </c>
      <c r="AF19" s="10">
        <f t="shared" si="2"/>
        <v>2580809</v>
      </c>
      <c r="AG19" s="10">
        <f t="shared" si="2"/>
        <v>314290</v>
      </c>
      <c r="AH19" s="68">
        <f t="shared" si="0"/>
        <v>49270837.759999998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0.140625" style="76" customWidth="1"/>
    <col min="2" max="3" width="16" style="76" customWidth="1"/>
    <col min="4" max="4" width="16" style="47" customWidth="1"/>
    <col min="5" max="33" width="16" style="76" customWidth="1"/>
    <col min="34" max="34" width="16" style="54" customWidth="1"/>
    <col min="35" max="16384" width="9.140625" style="76"/>
  </cols>
  <sheetData>
    <row r="1" spans="1:34" ht="18.75" x14ac:dyDescent="0.3">
      <c r="A1" s="12" t="s">
        <v>303</v>
      </c>
    </row>
    <row r="2" spans="1:34" x14ac:dyDescent="0.25">
      <c r="A2" s="5" t="s">
        <v>34</v>
      </c>
    </row>
    <row r="3" spans="1:34" x14ac:dyDescent="0.25">
      <c r="A3" s="1" t="s">
        <v>0</v>
      </c>
      <c r="B3" s="75" t="s">
        <v>1</v>
      </c>
      <c r="C3" s="75" t="s">
        <v>282</v>
      </c>
      <c r="D3" s="87" t="s">
        <v>2</v>
      </c>
      <c r="E3" s="75" t="s">
        <v>3</v>
      </c>
      <c r="F3" s="75" t="s">
        <v>4</v>
      </c>
      <c r="G3" s="75" t="s">
        <v>283</v>
      </c>
      <c r="H3" s="75" t="s">
        <v>6</v>
      </c>
      <c r="I3" s="75" t="s">
        <v>5</v>
      </c>
      <c r="J3" s="75" t="s">
        <v>7</v>
      </c>
      <c r="K3" s="75" t="s">
        <v>284</v>
      </c>
      <c r="L3" s="75" t="s">
        <v>8</v>
      </c>
      <c r="M3" s="75" t="s">
        <v>9</v>
      </c>
      <c r="N3" s="75" t="s">
        <v>10</v>
      </c>
      <c r="O3" s="75" t="s">
        <v>293</v>
      </c>
      <c r="P3" s="75" t="s">
        <v>11</v>
      </c>
      <c r="Q3" s="75" t="s">
        <v>12</v>
      </c>
      <c r="R3" s="75" t="s">
        <v>285</v>
      </c>
      <c r="S3" s="75" t="s">
        <v>290</v>
      </c>
      <c r="T3" s="75" t="s">
        <v>13</v>
      </c>
      <c r="U3" s="75" t="s">
        <v>286</v>
      </c>
      <c r="V3" s="75" t="s">
        <v>287</v>
      </c>
      <c r="W3" s="75" t="s">
        <v>291</v>
      </c>
      <c r="X3" s="75" t="s">
        <v>294</v>
      </c>
      <c r="Y3" s="75" t="s">
        <v>14</v>
      </c>
      <c r="Z3" s="75" t="s">
        <v>15</v>
      </c>
      <c r="AA3" s="75" t="s">
        <v>16</v>
      </c>
      <c r="AB3" s="75" t="s">
        <v>17</v>
      </c>
      <c r="AC3" s="75" t="s">
        <v>18</v>
      </c>
      <c r="AD3" s="82" t="s">
        <v>288</v>
      </c>
      <c r="AE3" s="87" t="s">
        <v>289</v>
      </c>
      <c r="AF3" s="87" t="s">
        <v>19</v>
      </c>
      <c r="AG3" s="75" t="s">
        <v>20</v>
      </c>
      <c r="AH3" s="86" t="s">
        <v>21</v>
      </c>
    </row>
    <row r="4" spans="1:34" ht="15" customHeight="1" x14ac:dyDescent="0.25">
      <c r="A4" s="2" t="s">
        <v>79</v>
      </c>
      <c r="B4" s="84">
        <v>540</v>
      </c>
      <c r="C4" s="84">
        <v>1614</v>
      </c>
      <c r="D4" s="50">
        <v>24</v>
      </c>
      <c r="E4" s="84">
        <v>3628</v>
      </c>
      <c r="F4" s="84">
        <v>19126</v>
      </c>
      <c r="G4" s="84">
        <v>64535</v>
      </c>
      <c r="H4">
        <v>9511.6200000000008</v>
      </c>
      <c r="I4" s="84">
        <v>2312</v>
      </c>
      <c r="J4" s="84">
        <v>89401</v>
      </c>
      <c r="K4" s="84">
        <v>397023</v>
      </c>
      <c r="L4" s="84">
        <v>811595</v>
      </c>
      <c r="M4" s="84">
        <v>29300</v>
      </c>
      <c r="N4" s="84">
        <v>15891</v>
      </c>
      <c r="O4" s="84">
        <v>21221</v>
      </c>
      <c r="P4" s="84">
        <v>65884</v>
      </c>
      <c r="Q4" s="84">
        <v>4889</v>
      </c>
      <c r="R4" s="118">
        <v>19443</v>
      </c>
      <c r="S4" s="84">
        <v>12383</v>
      </c>
      <c r="T4" s="84">
        <v>82649</v>
      </c>
      <c r="U4" s="84">
        <v>2715</v>
      </c>
      <c r="V4" s="84">
        <v>89</v>
      </c>
      <c r="W4" s="84">
        <v>8288</v>
      </c>
      <c r="X4" s="84">
        <v>45816</v>
      </c>
      <c r="Y4" s="84">
        <v>53144</v>
      </c>
      <c r="Z4" s="84">
        <v>90579</v>
      </c>
      <c r="AA4" s="84">
        <v>6659</v>
      </c>
      <c r="AB4" s="84">
        <v>1686556</v>
      </c>
      <c r="AC4" s="84">
        <v>165543</v>
      </c>
      <c r="AD4" s="84">
        <v>1253373</v>
      </c>
      <c r="AE4" s="84">
        <v>408843</v>
      </c>
      <c r="AF4" s="84">
        <v>1595900</v>
      </c>
      <c r="AG4" s="84">
        <v>3233</v>
      </c>
      <c r="AH4" s="69">
        <f t="shared" ref="AH4:AH16" si="0">SUM(B4:AG4)</f>
        <v>6971707.6200000001</v>
      </c>
    </row>
    <row r="5" spans="1:34" x14ac:dyDescent="0.25">
      <c r="A5" s="2" t="s">
        <v>80</v>
      </c>
      <c r="B5" s="84"/>
      <c r="C5" s="84"/>
      <c r="D5" s="50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69">
        <f t="shared" si="0"/>
        <v>0</v>
      </c>
    </row>
    <row r="6" spans="1:34" x14ac:dyDescent="0.25">
      <c r="A6" s="2" t="s">
        <v>81</v>
      </c>
      <c r="B6" s="84"/>
      <c r="C6" s="84"/>
      <c r="D6" s="50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69">
        <f t="shared" si="0"/>
        <v>0</v>
      </c>
    </row>
    <row r="7" spans="1:34" ht="15" customHeight="1" x14ac:dyDescent="0.25">
      <c r="A7" s="2" t="s">
        <v>82</v>
      </c>
      <c r="B7" s="84"/>
      <c r="C7" s="84">
        <v>651</v>
      </c>
      <c r="D7" s="50">
        <v>28735472</v>
      </c>
      <c r="E7" s="84">
        <v>2257305</v>
      </c>
      <c r="F7" s="84">
        <v>216372</v>
      </c>
      <c r="G7" s="84"/>
      <c r="H7" s="103">
        <f>13504200+599999</f>
        <v>14104199</v>
      </c>
      <c r="I7" s="84"/>
      <c r="J7" s="84"/>
      <c r="K7" s="84"/>
      <c r="L7" s="76">
        <v>772469</v>
      </c>
      <c r="M7" s="84">
        <v>17840</v>
      </c>
      <c r="N7" s="84"/>
      <c r="O7" s="84"/>
      <c r="P7" s="84">
        <v>10000</v>
      </c>
      <c r="Q7" s="84"/>
      <c r="R7" s="103">
        <v>472700</v>
      </c>
      <c r="S7" s="84">
        <v>86500</v>
      </c>
      <c r="T7" s="84">
        <v>1567193</v>
      </c>
      <c r="U7" s="84">
        <v>1000</v>
      </c>
      <c r="V7" s="84"/>
      <c r="W7" s="84">
        <v>15706</v>
      </c>
      <c r="X7" s="84">
        <v>9244</v>
      </c>
      <c r="Y7" s="84"/>
      <c r="Z7" s="84"/>
      <c r="AA7" s="84"/>
      <c r="AB7" s="84">
        <v>2349000</v>
      </c>
      <c r="AC7" s="84">
        <v>1112</v>
      </c>
      <c r="AD7" s="84">
        <v>8538364</v>
      </c>
      <c r="AE7" s="84">
        <v>26588608</v>
      </c>
      <c r="AF7" s="84">
        <v>30399010</v>
      </c>
      <c r="AG7" s="84"/>
      <c r="AH7" s="69">
        <f t="shared" si="0"/>
        <v>116142745</v>
      </c>
    </row>
    <row r="8" spans="1:34" x14ac:dyDescent="0.25">
      <c r="A8" s="2" t="s">
        <v>83</v>
      </c>
      <c r="B8" s="84"/>
      <c r="C8" s="84">
        <v>3744</v>
      </c>
      <c r="D8" s="50"/>
      <c r="E8" s="84"/>
      <c r="F8" s="84"/>
      <c r="G8" s="84"/>
      <c r="H8" s="103">
        <v>1270000</v>
      </c>
      <c r="I8" s="84"/>
      <c r="J8" s="84">
        <v>1885</v>
      </c>
      <c r="K8" s="84"/>
      <c r="L8" s="84">
        <v>4671</v>
      </c>
      <c r="M8" s="84"/>
      <c r="N8" s="84"/>
      <c r="O8" s="84"/>
      <c r="P8" s="84"/>
      <c r="Q8" s="84"/>
      <c r="R8" s="103">
        <v>2500</v>
      </c>
      <c r="S8" s="84"/>
      <c r="T8" s="84"/>
      <c r="U8" s="84"/>
      <c r="V8" s="84"/>
      <c r="W8" s="84"/>
      <c r="X8" s="84">
        <v>2500</v>
      </c>
      <c r="Y8" s="84"/>
      <c r="Z8" s="84">
        <v>2500</v>
      </c>
      <c r="AA8" s="84"/>
      <c r="AB8" s="84">
        <v>449900</v>
      </c>
      <c r="AC8" s="84">
        <v>13456</v>
      </c>
      <c r="AD8" s="84">
        <v>57520029</v>
      </c>
      <c r="AE8" s="84"/>
      <c r="AF8" s="84"/>
      <c r="AG8" s="84"/>
      <c r="AH8" s="69">
        <f t="shared" si="0"/>
        <v>59271185</v>
      </c>
    </row>
    <row r="9" spans="1:34" x14ac:dyDescent="0.25">
      <c r="A9" s="2" t="s">
        <v>84</v>
      </c>
      <c r="B9" s="84">
        <v>210875</v>
      </c>
      <c r="C9" s="84">
        <v>509148</v>
      </c>
      <c r="D9" s="50">
        <v>22080537</v>
      </c>
      <c r="E9" s="84">
        <v>4140853</v>
      </c>
      <c r="F9" s="84">
        <v>152890</v>
      </c>
      <c r="G9" s="84">
        <v>236079</v>
      </c>
      <c r="H9" s="103">
        <v>130790.35</v>
      </c>
      <c r="I9" s="84">
        <v>63432</v>
      </c>
      <c r="J9" s="84">
        <v>1204627</v>
      </c>
      <c r="K9" s="84">
        <v>1201852</v>
      </c>
      <c r="L9" s="84">
        <v>3149514</v>
      </c>
      <c r="M9" s="84">
        <v>2229355</v>
      </c>
      <c r="N9" s="84">
        <v>1280186</v>
      </c>
      <c r="O9" s="84">
        <v>57067</v>
      </c>
      <c r="P9" s="84">
        <v>44533</v>
      </c>
      <c r="Q9" s="84">
        <v>370520</v>
      </c>
      <c r="R9" s="103">
        <v>169050</v>
      </c>
      <c r="S9" s="84">
        <v>205190</v>
      </c>
      <c r="T9" s="84">
        <v>4679384</v>
      </c>
      <c r="U9" s="84">
        <v>23355</v>
      </c>
      <c r="V9" s="84">
        <v>42246</v>
      </c>
      <c r="W9" s="84">
        <v>1607104</v>
      </c>
      <c r="X9" s="84">
        <v>399240</v>
      </c>
      <c r="Y9" s="84">
        <v>683194</v>
      </c>
      <c r="Z9" s="84">
        <v>4215075</v>
      </c>
      <c r="AA9" s="84">
        <v>193847</v>
      </c>
      <c r="AB9" s="84">
        <v>14304483</v>
      </c>
      <c r="AC9" s="84">
        <v>2993388</v>
      </c>
      <c r="AD9" s="84">
        <v>23321311</v>
      </c>
      <c r="AE9" s="84">
        <v>13424394</v>
      </c>
      <c r="AF9" s="84">
        <v>6425819</v>
      </c>
      <c r="AG9" s="84">
        <v>1930521</v>
      </c>
      <c r="AH9" s="69">
        <f t="shared" si="0"/>
        <v>111679859.34999999</v>
      </c>
    </row>
    <row r="10" spans="1:34" x14ac:dyDescent="0.25">
      <c r="A10" s="2" t="s">
        <v>85</v>
      </c>
      <c r="B10" s="84"/>
      <c r="C10" s="84"/>
      <c r="D10" s="50"/>
      <c r="E10" s="84">
        <v>432155</v>
      </c>
      <c r="F10" s="84"/>
      <c r="G10" s="84"/>
      <c r="H10" s="103"/>
      <c r="I10" s="84"/>
      <c r="J10" s="84"/>
      <c r="K10" s="84"/>
      <c r="L10" s="84"/>
      <c r="M10" s="84"/>
      <c r="N10" s="84"/>
      <c r="O10" s="84"/>
      <c r="P10" s="84"/>
      <c r="Q10" s="84"/>
      <c r="R10" s="103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69">
        <f t="shared" si="0"/>
        <v>432155</v>
      </c>
    </row>
    <row r="11" spans="1:34" x14ac:dyDescent="0.25">
      <c r="A11" s="2" t="s">
        <v>86</v>
      </c>
      <c r="B11" s="84"/>
      <c r="C11" s="84"/>
      <c r="D11" s="50"/>
      <c r="E11" s="84"/>
      <c r="F11" s="84"/>
      <c r="G11" s="84"/>
      <c r="H11" s="103"/>
      <c r="I11" s="84"/>
      <c r="J11" s="84"/>
      <c r="K11" s="84"/>
      <c r="L11" s="84"/>
      <c r="M11" s="84"/>
      <c r="N11" s="84"/>
      <c r="O11" s="84"/>
      <c r="P11" s="84"/>
      <c r="Q11" s="84"/>
      <c r="R11" s="103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69">
        <f t="shared" si="0"/>
        <v>0</v>
      </c>
    </row>
    <row r="12" spans="1:34" x14ac:dyDescent="0.25">
      <c r="A12" s="2" t="s">
        <v>87</v>
      </c>
      <c r="B12" s="84"/>
      <c r="C12" s="84"/>
      <c r="D12" s="50"/>
      <c r="E12" s="84"/>
      <c r="F12" s="84"/>
      <c r="G12" s="84"/>
      <c r="H12" s="103"/>
      <c r="I12" s="84"/>
      <c r="J12" s="84"/>
      <c r="K12" s="84"/>
      <c r="L12" s="84"/>
      <c r="M12" s="84"/>
      <c r="N12" s="84"/>
      <c r="O12" s="84"/>
      <c r="P12" s="84"/>
      <c r="Q12" s="84"/>
      <c r="R12" s="103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69">
        <f t="shared" si="0"/>
        <v>0</v>
      </c>
    </row>
    <row r="13" spans="1:34" x14ac:dyDescent="0.25">
      <c r="A13" s="2" t="s">
        <v>88</v>
      </c>
      <c r="B13" s="84"/>
      <c r="C13" s="84"/>
      <c r="D13" s="50"/>
      <c r="E13" s="84"/>
      <c r="F13" s="84"/>
      <c r="G13" s="84"/>
      <c r="H13" s="103"/>
      <c r="I13" s="84"/>
      <c r="J13" s="84"/>
      <c r="K13" s="84"/>
      <c r="L13" s="84"/>
      <c r="M13" s="84"/>
      <c r="N13" s="84"/>
      <c r="O13" s="84"/>
      <c r="P13" s="84"/>
      <c r="Q13" s="84"/>
      <c r="R13" s="103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69">
        <f t="shared" si="0"/>
        <v>0</v>
      </c>
    </row>
    <row r="14" spans="1:34" x14ac:dyDescent="0.25">
      <c r="A14" s="2" t="s">
        <v>89</v>
      </c>
      <c r="B14" s="84"/>
      <c r="C14" s="84"/>
      <c r="D14" s="50"/>
      <c r="E14" s="84"/>
      <c r="F14" s="84"/>
      <c r="G14" s="84"/>
      <c r="H14" s="103"/>
      <c r="I14" s="84"/>
      <c r="J14" s="84"/>
      <c r="K14" s="84"/>
      <c r="L14" s="84"/>
      <c r="M14" s="84"/>
      <c r="N14" s="84"/>
      <c r="O14" s="84"/>
      <c r="P14" s="84"/>
      <c r="Q14" s="84"/>
      <c r="R14" s="103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>
        <v>26192892</v>
      </c>
      <c r="AE14" s="84"/>
      <c r="AF14" s="84">
        <v>2498423</v>
      </c>
      <c r="AG14" s="84"/>
      <c r="AH14" s="69">
        <f t="shared" si="0"/>
        <v>28691315</v>
      </c>
    </row>
    <row r="15" spans="1:34" x14ac:dyDescent="0.25">
      <c r="A15" s="2" t="s">
        <v>32</v>
      </c>
      <c r="B15" s="84">
        <f>B16-B14-B13-B12-B11-B10-B9-B8-B7-B6-B5-B4</f>
        <v>28440</v>
      </c>
      <c r="C15" s="84">
        <f t="shared" ref="C15:AG15" si="1">C16-C14-C13-C12-C11-C10-C9-C8-C7-C6-C5-C4</f>
        <v>0</v>
      </c>
      <c r="D15" s="50">
        <f t="shared" si="1"/>
        <v>0</v>
      </c>
      <c r="E15" s="84">
        <f t="shared" si="1"/>
        <v>0</v>
      </c>
      <c r="F15" s="84">
        <f t="shared" si="1"/>
        <v>0</v>
      </c>
      <c r="G15" s="84">
        <f t="shared" si="1"/>
        <v>36444</v>
      </c>
      <c r="H15" s="103">
        <f t="shared" si="1"/>
        <v>100.00000000104228</v>
      </c>
      <c r="I15" s="84">
        <f t="shared" si="1"/>
        <v>0</v>
      </c>
      <c r="J15" s="84">
        <f t="shared" si="1"/>
        <v>1</v>
      </c>
      <c r="K15" s="84">
        <f t="shared" si="1"/>
        <v>0</v>
      </c>
      <c r="L15" s="84">
        <f>L16-L14-L13-L12-L11-L10-L9-L8-L7-L6-L5-L4</f>
        <v>0</v>
      </c>
      <c r="M15" s="84">
        <f t="shared" si="1"/>
        <v>0</v>
      </c>
      <c r="N15" s="84">
        <f t="shared" si="1"/>
        <v>0</v>
      </c>
      <c r="O15" s="84">
        <f t="shared" si="1"/>
        <v>0</v>
      </c>
      <c r="P15" s="84">
        <f t="shared" si="1"/>
        <v>0</v>
      </c>
      <c r="Q15" s="84">
        <f t="shared" si="1"/>
        <v>0</v>
      </c>
      <c r="R15" s="103">
        <f t="shared" si="1"/>
        <v>0</v>
      </c>
      <c r="S15" s="84">
        <f t="shared" si="1"/>
        <v>0</v>
      </c>
      <c r="T15" s="84">
        <f t="shared" si="1"/>
        <v>23</v>
      </c>
      <c r="U15" s="84">
        <f t="shared" si="1"/>
        <v>0</v>
      </c>
      <c r="V15" s="84">
        <f t="shared" si="1"/>
        <v>0</v>
      </c>
      <c r="W15" s="84">
        <f t="shared" si="1"/>
        <v>364353</v>
      </c>
      <c r="X15" s="84">
        <f t="shared" si="1"/>
        <v>0</v>
      </c>
      <c r="Y15" s="84">
        <f t="shared" si="1"/>
        <v>0</v>
      </c>
      <c r="Z15" s="84">
        <f t="shared" si="1"/>
        <v>0</v>
      </c>
      <c r="AA15" s="84">
        <f t="shared" si="1"/>
        <v>11330</v>
      </c>
      <c r="AB15" s="84">
        <f t="shared" si="1"/>
        <v>0</v>
      </c>
      <c r="AC15" s="84">
        <f t="shared" si="1"/>
        <v>0</v>
      </c>
      <c r="AD15" s="84">
        <f t="shared" si="1"/>
        <v>0</v>
      </c>
      <c r="AE15" s="84">
        <f t="shared" si="1"/>
        <v>0</v>
      </c>
      <c r="AF15" s="84">
        <f t="shared" si="1"/>
        <v>0</v>
      </c>
      <c r="AG15" s="84">
        <f t="shared" si="1"/>
        <v>0</v>
      </c>
      <c r="AH15" s="69">
        <f t="shared" si="0"/>
        <v>440691.00000000105</v>
      </c>
    </row>
    <row r="16" spans="1:34" s="7" customFormat="1" x14ac:dyDescent="0.25">
      <c r="A16" s="3" t="s">
        <v>42</v>
      </c>
      <c r="B16" s="10">
        <v>239855</v>
      </c>
      <c r="C16" s="10">
        <v>515157</v>
      </c>
      <c r="D16" s="52">
        <v>50816033</v>
      </c>
      <c r="E16" s="10">
        <v>6833941</v>
      </c>
      <c r="F16" s="10">
        <v>388388</v>
      </c>
      <c r="G16" s="10">
        <v>337058</v>
      </c>
      <c r="H16" s="10">
        <v>15514600.970000001</v>
      </c>
      <c r="I16" s="10">
        <v>65744</v>
      </c>
      <c r="J16" s="10">
        <v>1295914</v>
      </c>
      <c r="K16" s="10">
        <v>1598875</v>
      </c>
      <c r="L16" s="10">
        <v>4738249</v>
      </c>
      <c r="M16" s="10">
        <v>2276495</v>
      </c>
      <c r="N16" s="10">
        <v>1296077</v>
      </c>
      <c r="O16" s="10">
        <v>78288</v>
      </c>
      <c r="P16" s="10">
        <v>120417</v>
      </c>
      <c r="Q16" s="10">
        <v>375409</v>
      </c>
      <c r="R16" s="10">
        <v>663693</v>
      </c>
      <c r="S16" s="10">
        <v>304073</v>
      </c>
      <c r="T16" s="10">
        <v>6329249</v>
      </c>
      <c r="U16" s="10">
        <v>27070</v>
      </c>
      <c r="V16" s="10">
        <v>42335</v>
      </c>
      <c r="W16" s="10">
        <v>1995451</v>
      </c>
      <c r="X16" s="10">
        <v>456800</v>
      </c>
      <c r="Y16" s="10">
        <v>736338</v>
      </c>
      <c r="Z16" s="10">
        <v>4308154</v>
      </c>
      <c r="AA16" s="10">
        <v>211836</v>
      </c>
      <c r="AB16" s="10">
        <v>18789939</v>
      </c>
      <c r="AC16" s="10">
        <v>3173499</v>
      </c>
      <c r="AD16" s="10">
        <v>116825969</v>
      </c>
      <c r="AE16" s="10">
        <v>40421845</v>
      </c>
      <c r="AF16" s="10">
        <v>40919152</v>
      </c>
      <c r="AG16" s="10">
        <v>1933754</v>
      </c>
      <c r="AH16" s="68">
        <f t="shared" si="0"/>
        <v>323629657.97000003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3.140625" style="76" customWidth="1"/>
    <col min="2" max="6" width="16" style="76" customWidth="1"/>
    <col min="7" max="7" width="18.140625" style="76" customWidth="1"/>
    <col min="8" max="33" width="16" style="76" customWidth="1"/>
    <col min="34" max="34" width="16" style="7" customWidth="1"/>
    <col min="35" max="16384" width="9.140625" style="76"/>
  </cols>
  <sheetData>
    <row r="1" spans="1:34" ht="18.75" x14ac:dyDescent="0.3">
      <c r="A1" s="12" t="s">
        <v>304</v>
      </c>
    </row>
    <row r="2" spans="1:34" x14ac:dyDescent="0.25">
      <c r="A2" s="13" t="s">
        <v>34</v>
      </c>
    </row>
    <row r="3" spans="1:34" s="110" customFormat="1" ht="15" customHeight="1" x14ac:dyDescent="0.25">
      <c r="A3" s="105" t="s">
        <v>0</v>
      </c>
      <c r="B3" s="106" t="s">
        <v>1</v>
      </c>
      <c r="C3" s="106" t="s">
        <v>282</v>
      </c>
      <c r="D3" s="106" t="s">
        <v>2</v>
      </c>
      <c r="E3" s="106" t="s">
        <v>3</v>
      </c>
      <c r="F3" s="106" t="s">
        <v>4</v>
      </c>
      <c r="G3" s="106" t="s">
        <v>283</v>
      </c>
      <c r="H3" s="106" t="s">
        <v>6</v>
      </c>
      <c r="I3" s="106" t="s">
        <v>5</v>
      </c>
      <c r="J3" s="106" t="s">
        <v>7</v>
      </c>
      <c r="K3" s="106" t="s">
        <v>284</v>
      </c>
      <c r="L3" s="106" t="s">
        <v>8</v>
      </c>
      <c r="M3" s="106" t="s">
        <v>9</v>
      </c>
      <c r="N3" s="106" t="s">
        <v>10</v>
      </c>
      <c r="O3" s="106" t="s">
        <v>293</v>
      </c>
      <c r="P3" s="106" t="s">
        <v>11</v>
      </c>
      <c r="Q3" s="106" t="s">
        <v>12</v>
      </c>
      <c r="R3" s="106" t="s">
        <v>285</v>
      </c>
      <c r="S3" s="106" t="s">
        <v>290</v>
      </c>
      <c r="T3" s="106" t="s">
        <v>13</v>
      </c>
      <c r="U3" s="106" t="s">
        <v>286</v>
      </c>
      <c r="V3" s="106" t="s">
        <v>287</v>
      </c>
      <c r="W3" s="106" t="s">
        <v>291</v>
      </c>
      <c r="X3" s="106" t="s">
        <v>294</v>
      </c>
      <c r="Y3" s="106" t="s">
        <v>14</v>
      </c>
      <c r="Z3" s="106" t="s">
        <v>15</v>
      </c>
      <c r="AA3" s="106" t="s">
        <v>16</v>
      </c>
      <c r="AB3" s="106" t="s">
        <v>17</v>
      </c>
      <c r="AC3" s="106" t="s">
        <v>18</v>
      </c>
      <c r="AD3" s="107" t="s">
        <v>288</v>
      </c>
      <c r="AE3" s="108" t="s">
        <v>289</v>
      </c>
      <c r="AF3" s="108" t="s">
        <v>19</v>
      </c>
      <c r="AG3" s="106" t="s">
        <v>20</v>
      </c>
      <c r="AH3" s="109" t="s">
        <v>21</v>
      </c>
    </row>
    <row r="4" spans="1:34" s="110" customFormat="1" ht="15" customHeight="1" x14ac:dyDescent="0.25">
      <c r="A4" s="111" t="s">
        <v>90</v>
      </c>
      <c r="B4" s="112">
        <v>31522</v>
      </c>
      <c r="C4" s="112">
        <v>199689</v>
      </c>
      <c r="D4" s="112"/>
      <c r="E4" s="112">
        <v>1235898</v>
      </c>
      <c r="F4" s="112">
        <v>234015</v>
      </c>
      <c r="G4" s="112">
        <v>243064</v>
      </c>
      <c r="H4" s="112">
        <v>804536.2</v>
      </c>
      <c r="I4" s="112">
        <v>13845</v>
      </c>
      <c r="J4" s="112">
        <v>178948</v>
      </c>
      <c r="K4" s="112">
        <v>182230</v>
      </c>
      <c r="L4" s="112">
        <v>571506</v>
      </c>
      <c r="M4" s="112">
        <v>116880</v>
      </c>
      <c r="N4" s="112">
        <v>662851</v>
      </c>
      <c r="O4" s="112">
        <v>34765</v>
      </c>
      <c r="P4" s="112">
        <v>228581</v>
      </c>
      <c r="Q4" s="112">
        <v>26097</v>
      </c>
      <c r="R4" s="112">
        <v>82666</v>
      </c>
      <c r="S4" s="112">
        <v>168277</v>
      </c>
      <c r="T4" s="112">
        <v>945660</v>
      </c>
      <c r="U4" s="112">
        <v>97701</v>
      </c>
      <c r="V4" s="112">
        <v>41262</v>
      </c>
      <c r="W4" s="112">
        <v>281011</v>
      </c>
      <c r="X4" s="112">
        <v>255335</v>
      </c>
      <c r="Y4" s="112">
        <v>269401</v>
      </c>
      <c r="Z4" s="112">
        <v>518900</v>
      </c>
      <c r="AA4" s="112">
        <v>125577</v>
      </c>
      <c r="AB4" s="112">
        <v>658259</v>
      </c>
      <c r="AC4" s="112">
        <v>964575</v>
      </c>
      <c r="AD4" s="112">
        <v>2561138</v>
      </c>
      <c r="AE4" s="112">
        <v>1186733</v>
      </c>
      <c r="AF4" s="112">
        <v>916149</v>
      </c>
      <c r="AG4" s="112">
        <v>114828</v>
      </c>
      <c r="AH4" s="113">
        <f t="shared" ref="AH4:AH15" si="0">SUM(B4:AG4)</f>
        <v>13951899.199999999</v>
      </c>
    </row>
    <row r="5" spans="1:34" s="110" customFormat="1" ht="15" customHeight="1" x14ac:dyDescent="0.25">
      <c r="A5" s="111" t="s">
        <v>91</v>
      </c>
      <c r="B5" s="112">
        <v>604175</v>
      </c>
      <c r="C5" s="112">
        <v>1300666</v>
      </c>
      <c r="D5" s="112">
        <v>82941649</v>
      </c>
      <c r="E5" s="112">
        <v>17529741</v>
      </c>
      <c r="F5" s="112">
        <v>6810932</v>
      </c>
      <c r="G5" s="112">
        <v>1411649</v>
      </c>
      <c r="H5" s="112"/>
      <c r="I5" s="112">
        <v>239159</v>
      </c>
      <c r="J5" s="112">
        <v>6368613</v>
      </c>
      <c r="K5" s="112">
        <v>1344683</v>
      </c>
      <c r="L5" s="112">
        <v>29374458</v>
      </c>
      <c r="M5" s="112">
        <v>3716893</v>
      </c>
      <c r="N5" s="112">
        <v>11894029</v>
      </c>
      <c r="O5" s="112">
        <v>134136</v>
      </c>
      <c r="P5" s="112">
        <v>535391</v>
      </c>
      <c r="Q5" s="112">
        <v>911046</v>
      </c>
      <c r="R5" s="112">
        <v>11745</v>
      </c>
      <c r="S5" s="112">
        <v>1373694</v>
      </c>
      <c r="T5" s="112">
        <v>16630262</v>
      </c>
      <c r="U5" s="112">
        <v>36323</v>
      </c>
      <c r="V5" s="112">
        <v>151029</v>
      </c>
      <c r="W5" s="112">
        <v>12036387</v>
      </c>
      <c r="X5" s="112">
        <v>111430</v>
      </c>
      <c r="Y5" s="112">
        <v>3793414</v>
      </c>
      <c r="Z5" s="112">
        <v>13941132</v>
      </c>
      <c r="AA5" s="112">
        <v>1006319</v>
      </c>
      <c r="AB5" s="112">
        <v>25474</v>
      </c>
      <c r="AC5" s="112">
        <v>9408199</v>
      </c>
      <c r="AD5" s="112">
        <v>13251608</v>
      </c>
      <c r="AE5" s="112">
        <v>5934069</v>
      </c>
      <c r="AF5" s="112">
        <v>7107791</v>
      </c>
      <c r="AG5" s="112">
        <v>8852170</v>
      </c>
      <c r="AH5" s="113">
        <f t="shared" si="0"/>
        <v>258788266</v>
      </c>
    </row>
    <row r="6" spans="1:34" s="110" customFormat="1" ht="15" customHeight="1" x14ac:dyDescent="0.25">
      <c r="A6" s="111" t="s">
        <v>92</v>
      </c>
      <c r="B6" s="112"/>
      <c r="C6" s="112"/>
      <c r="D6" s="112"/>
      <c r="E6" s="112"/>
      <c r="F6" s="112">
        <v>92658</v>
      </c>
      <c r="G6" s="112">
        <v>2089348</v>
      </c>
      <c r="H6" s="112"/>
      <c r="I6" s="112"/>
      <c r="J6" s="112"/>
      <c r="K6" s="112"/>
      <c r="L6" s="112"/>
      <c r="M6" s="112">
        <v>154762</v>
      </c>
      <c r="N6" s="112"/>
      <c r="O6" s="112"/>
      <c r="P6" s="112"/>
      <c r="Q6" s="112">
        <v>1092369</v>
      </c>
      <c r="R6" s="112"/>
      <c r="S6" s="112"/>
      <c r="T6" s="112">
        <v>10786927</v>
      </c>
      <c r="U6" s="112"/>
      <c r="V6" s="112"/>
      <c r="W6" s="112"/>
      <c r="X6" s="112"/>
      <c r="Y6" s="112"/>
      <c r="Z6" s="112"/>
      <c r="AA6" s="112"/>
      <c r="AB6" s="112"/>
      <c r="AC6" s="112"/>
      <c r="AD6" s="112">
        <v>612126</v>
      </c>
      <c r="AE6" s="112">
        <v>117925</v>
      </c>
      <c r="AF6" s="112">
        <v>1217</v>
      </c>
      <c r="AG6" s="112"/>
      <c r="AH6" s="113">
        <f t="shared" si="0"/>
        <v>14947332</v>
      </c>
    </row>
    <row r="7" spans="1:34" s="110" customFormat="1" ht="15" customHeight="1" x14ac:dyDescent="0.25">
      <c r="A7" s="111" t="s">
        <v>93</v>
      </c>
      <c r="B7" s="112">
        <v>555959</v>
      </c>
      <c r="C7" s="112">
        <v>112776</v>
      </c>
      <c r="D7" s="112"/>
      <c r="E7" s="112">
        <v>11045024</v>
      </c>
      <c r="F7" s="112">
        <v>5109555</v>
      </c>
      <c r="G7" s="112">
        <v>8915117</v>
      </c>
      <c r="H7" s="112">
        <v>2196870.77</v>
      </c>
      <c r="I7" s="112">
        <v>93366</v>
      </c>
      <c r="J7" s="112">
        <v>1136541</v>
      </c>
      <c r="K7" s="112">
        <v>211098</v>
      </c>
      <c r="L7" s="112">
        <v>8938194</v>
      </c>
      <c r="M7" s="112">
        <v>32404595</v>
      </c>
      <c r="N7" s="112">
        <v>9537678</v>
      </c>
      <c r="O7" s="112">
        <v>294776</v>
      </c>
      <c r="P7" s="112">
        <v>4713139</v>
      </c>
      <c r="Q7" s="112">
        <v>3395647</v>
      </c>
      <c r="R7" s="112">
        <v>184209</v>
      </c>
      <c r="S7" s="112">
        <v>121679</v>
      </c>
      <c r="T7" s="112">
        <v>11024862</v>
      </c>
      <c r="U7" s="112">
        <v>209683</v>
      </c>
      <c r="V7" s="112">
        <v>120172</v>
      </c>
      <c r="W7" s="112">
        <v>7121045</v>
      </c>
      <c r="X7" s="112">
        <v>571986</v>
      </c>
      <c r="Y7" s="112">
        <v>1442415</v>
      </c>
      <c r="Z7" s="112">
        <v>2756693</v>
      </c>
      <c r="AA7" s="112">
        <v>3545258</v>
      </c>
      <c r="AB7" s="112">
        <v>469481</v>
      </c>
      <c r="AC7" s="112">
        <v>16774056</v>
      </c>
      <c r="AD7" s="112">
        <v>9321194</v>
      </c>
      <c r="AE7" s="112">
        <v>6638458</v>
      </c>
      <c r="AF7" s="112">
        <v>3976585</v>
      </c>
      <c r="AG7" s="112">
        <v>2021932</v>
      </c>
      <c r="AH7" s="113">
        <f t="shared" si="0"/>
        <v>154960043.76999998</v>
      </c>
    </row>
    <row r="8" spans="1:34" s="110" customFormat="1" ht="15" customHeight="1" x14ac:dyDescent="0.25">
      <c r="A8" s="111" t="s">
        <v>94</v>
      </c>
      <c r="B8" s="112"/>
      <c r="C8" s="112">
        <v>867563</v>
      </c>
      <c r="D8" s="112"/>
      <c r="E8" s="112">
        <v>4600477</v>
      </c>
      <c r="F8" s="112">
        <v>1284547</v>
      </c>
      <c r="G8" s="112">
        <v>1148085</v>
      </c>
      <c r="H8" s="112">
        <v>401753.94</v>
      </c>
      <c r="I8" s="112">
        <v>25281</v>
      </c>
      <c r="J8" s="112">
        <v>1814779</v>
      </c>
      <c r="K8" s="112">
        <v>6520167</v>
      </c>
      <c r="L8" s="112">
        <v>6013690</v>
      </c>
      <c r="M8" s="112">
        <v>8676288</v>
      </c>
      <c r="N8" s="112">
        <v>196868</v>
      </c>
      <c r="O8" s="112">
        <v>126624</v>
      </c>
      <c r="P8" s="112">
        <v>792551</v>
      </c>
      <c r="Q8" s="112">
        <v>73226</v>
      </c>
      <c r="R8" s="112">
        <v>331033</v>
      </c>
      <c r="S8" s="112">
        <v>226229</v>
      </c>
      <c r="T8" s="112">
        <v>5949182</v>
      </c>
      <c r="U8" s="112">
        <v>15559</v>
      </c>
      <c r="V8" s="112">
        <v>8838</v>
      </c>
      <c r="W8" s="112">
        <v>5668919</v>
      </c>
      <c r="X8" s="112">
        <v>793270</v>
      </c>
      <c r="Y8" s="112">
        <v>83695</v>
      </c>
      <c r="Z8" s="112">
        <v>2075024</v>
      </c>
      <c r="AA8" s="112">
        <v>62953</v>
      </c>
      <c r="AB8" s="112">
        <v>117791</v>
      </c>
      <c r="AC8" s="112">
        <v>2125137</v>
      </c>
      <c r="AD8" s="112">
        <v>30780402</v>
      </c>
      <c r="AE8" s="112"/>
      <c r="AF8" s="112"/>
      <c r="AG8" s="112">
        <v>494410</v>
      </c>
      <c r="AH8" s="113">
        <f t="shared" si="0"/>
        <v>81274341.939999998</v>
      </c>
    </row>
    <row r="9" spans="1:34" s="110" customFormat="1" ht="15" customHeight="1" x14ac:dyDescent="0.25">
      <c r="A9" s="111" t="s">
        <v>95</v>
      </c>
      <c r="B9" s="112">
        <v>276384</v>
      </c>
      <c r="C9" s="112">
        <v>926174</v>
      </c>
      <c r="D9" s="112">
        <v>6554578</v>
      </c>
      <c r="E9" s="112">
        <v>4608166</v>
      </c>
      <c r="F9" s="112">
        <v>2076606</v>
      </c>
      <c r="G9" s="112">
        <v>409765</v>
      </c>
      <c r="H9" s="112">
        <v>370400.43</v>
      </c>
      <c r="I9" s="112">
        <v>236787</v>
      </c>
      <c r="J9" s="112">
        <v>2166710</v>
      </c>
      <c r="K9" s="112">
        <v>1436802</v>
      </c>
      <c r="L9" s="112">
        <v>5160450</v>
      </c>
      <c r="M9" s="112">
        <v>6152077</v>
      </c>
      <c r="N9" s="112">
        <v>1315572</v>
      </c>
      <c r="O9" s="112">
        <v>6312</v>
      </c>
      <c r="P9" s="112">
        <v>795732</v>
      </c>
      <c r="Q9" s="112">
        <v>573109</v>
      </c>
      <c r="R9" s="112">
        <v>37529</v>
      </c>
      <c r="S9" s="112">
        <v>1673549</v>
      </c>
      <c r="T9" s="112">
        <v>29482377</v>
      </c>
      <c r="U9" s="112">
        <v>142448</v>
      </c>
      <c r="V9" s="112">
        <v>240701</v>
      </c>
      <c r="W9" s="112">
        <v>4323789</v>
      </c>
      <c r="X9" s="112">
        <v>1776435</v>
      </c>
      <c r="Y9" s="112">
        <v>1971925</v>
      </c>
      <c r="Z9" s="112">
        <v>456244</v>
      </c>
      <c r="AA9" s="112">
        <v>244886</v>
      </c>
      <c r="AB9" s="112">
        <v>2621185</v>
      </c>
      <c r="AC9" s="112">
        <v>3622918</v>
      </c>
      <c r="AD9" s="112">
        <v>35713532</v>
      </c>
      <c r="AE9" s="112">
        <v>22145102</v>
      </c>
      <c r="AF9" s="112">
        <v>28759401</v>
      </c>
      <c r="AG9" s="112">
        <v>827884</v>
      </c>
      <c r="AH9" s="113">
        <f t="shared" si="0"/>
        <v>167105529.43000001</v>
      </c>
    </row>
    <row r="10" spans="1:34" s="110" customFormat="1" ht="15" customHeight="1" x14ac:dyDescent="0.25">
      <c r="A10" s="111" t="s">
        <v>96</v>
      </c>
      <c r="B10" s="112">
        <v>15693</v>
      </c>
      <c r="C10" s="112">
        <v>76624</v>
      </c>
      <c r="D10" s="112"/>
      <c r="E10" s="112"/>
      <c r="F10" s="112"/>
      <c r="G10" s="112"/>
      <c r="H10" s="112"/>
      <c r="I10" s="112">
        <v>14913</v>
      </c>
      <c r="J10" s="112"/>
      <c r="K10" s="112">
        <v>630</v>
      </c>
      <c r="L10" s="112">
        <v>112036</v>
      </c>
      <c r="M10" s="112">
        <v>195114</v>
      </c>
      <c r="N10" s="112">
        <v>2615</v>
      </c>
      <c r="O10" s="112">
        <v>14170</v>
      </c>
      <c r="P10" s="112"/>
      <c r="Q10" s="112"/>
      <c r="R10" s="112"/>
      <c r="S10" s="112"/>
      <c r="T10" s="112"/>
      <c r="U10" s="112">
        <v>10899</v>
      </c>
      <c r="V10" s="112"/>
      <c r="W10" s="112"/>
      <c r="X10" s="112">
        <v>2658</v>
      </c>
      <c r="Y10" s="112"/>
      <c r="Z10" s="112">
        <v>209132</v>
      </c>
      <c r="AA10" s="112"/>
      <c r="AB10" s="112"/>
      <c r="AC10" s="112"/>
      <c r="AD10" s="112"/>
      <c r="AE10" s="112"/>
      <c r="AF10" s="112"/>
      <c r="AG10" s="112"/>
      <c r="AH10" s="113">
        <f t="shared" si="0"/>
        <v>654484</v>
      </c>
    </row>
    <row r="11" spans="1:34" s="110" customFormat="1" ht="15" customHeight="1" x14ac:dyDescent="0.25">
      <c r="A11" s="111" t="s">
        <v>97</v>
      </c>
      <c r="B11" s="112">
        <v>1135447</v>
      </c>
      <c r="C11" s="112">
        <v>1621519</v>
      </c>
      <c r="D11" s="112">
        <v>70750766</v>
      </c>
      <c r="E11" s="112">
        <v>100402744</v>
      </c>
      <c r="F11" s="112">
        <v>26909787</v>
      </c>
      <c r="G11" s="112">
        <v>64630144</v>
      </c>
      <c r="H11" s="112">
        <v>68853346.280000001</v>
      </c>
      <c r="I11" s="112">
        <v>1473169</v>
      </c>
      <c r="J11" s="112">
        <v>26091792</v>
      </c>
      <c r="K11" s="112">
        <v>21494144</v>
      </c>
      <c r="L11" s="112">
        <v>61050885</v>
      </c>
      <c r="M11" s="112">
        <v>182845031</v>
      </c>
      <c r="N11" s="112">
        <v>63477096</v>
      </c>
      <c r="O11" s="112">
        <v>3601237</v>
      </c>
      <c r="P11" s="112">
        <v>11318715</v>
      </c>
      <c r="Q11" s="112">
        <v>16502757</v>
      </c>
      <c r="R11" s="112">
        <v>969651</v>
      </c>
      <c r="S11" s="112">
        <v>2311834</v>
      </c>
      <c r="T11" s="112">
        <v>198419943</v>
      </c>
      <c r="U11" s="112">
        <v>1021582</v>
      </c>
      <c r="V11" s="112">
        <v>3199543</v>
      </c>
      <c r="W11" s="112">
        <v>76077384</v>
      </c>
      <c r="X11" s="112">
        <v>3838808</v>
      </c>
      <c r="Y11" s="112">
        <v>39976149</v>
      </c>
      <c r="Z11" s="112">
        <v>34705690</v>
      </c>
      <c r="AA11" s="112">
        <v>29695736</v>
      </c>
      <c r="AB11" s="112">
        <v>8593857</v>
      </c>
      <c r="AC11" s="112">
        <v>68899247</v>
      </c>
      <c r="AD11" s="112">
        <v>299802369</v>
      </c>
      <c r="AE11" s="112">
        <v>156670893</v>
      </c>
      <c r="AF11" s="112">
        <v>235426180</v>
      </c>
      <c r="AG11" s="112">
        <v>17329521</v>
      </c>
      <c r="AH11" s="113">
        <f t="shared" si="0"/>
        <v>1899096966.28</v>
      </c>
    </row>
    <row r="12" spans="1:34" s="110" customFormat="1" ht="15" customHeight="1" x14ac:dyDescent="0.25">
      <c r="A12" s="111" t="s">
        <v>98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>
        <v>3700</v>
      </c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>
        <v>3600</v>
      </c>
      <c r="AD12" s="112"/>
      <c r="AE12" s="112"/>
      <c r="AF12" s="112"/>
      <c r="AG12" s="112"/>
      <c r="AH12" s="113">
        <f t="shared" si="0"/>
        <v>7300</v>
      </c>
    </row>
    <row r="13" spans="1:34" s="110" customFormat="1" ht="15" customHeight="1" x14ac:dyDescent="0.25">
      <c r="A13" s="111" t="s">
        <v>99</v>
      </c>
      <c r="B13" s="112"/>
      <c r="C13" s="112">
        <v>1024</v>
      </c>
      <c r="D13" s="112">
        <v>647603</v>
      </c>
      <c r="E13" s="112">
        <v>61479</v>
      </c>
      <c r="F13" s="112">
        <v>290410</v>
      </c>
      <c r="G13" s="112">
        <v>57528</v>
      </c>
      <c r="H13" s="112">
        <v>18538.32</v>
      </c>
      <c r="I13" s="112">
        <v>324</v>
      </c>
      <c r="J13" s="112">
        <f>84520+19657</f>
        <v>104177</v>
      </c>
      <c r="K13" s="112">
        <v>12924</v>
      </c>
      <c r="L13" s="112">
        <v>308862</v>
      </c>
      <c r="M13" s="112">
        <v>3590126</v>
      </c>
      <c r="N13" s="112">
        <f>182247+47073</f>
        <v>229320</v>
      </c>
      <c r="O13" s="112">
        <v>1150</v>
      </c>
      <c r="P13" s="112">
        <f>61005+3030</f>
        <v>64035</v>
      </c>
      <c r="Q13" s="112">
        <v>29573</v>
      </c>
      <c r="R13" s="112">
        <v>11288</v>
      </c>
      <c r="S13" s="112">
        <v>20430</v>
      </c>
      <c r="T13" s="112">
        <f>1108698+219425</f>
        <v>1328123</v>
      </c>
      <c r="U13" s="112">
        <v>479</v>
      </c>
      <c r="V13" s="112">
        <v>1</v>
      </c>
      <c r="W13" s="112">
        <v>900637</v>
      </c>
      <c r="X13" s="112">
        <v>24946</v>
      </c>
      <c r="Y13" s="112">
        <v>77833</v>
      </c>
      <c r="Z13" s="112">
        <v>78566</v>
      </c>
      <c r="AA13" s="112">
        <v>185045</v>
      </c>
      <c r="AB13" s="112">
        <v>148016</v>
      </c>
      <c r="AC13" s="112">
        <v>296573</v>
      </c>
      <c r="AD13" s="112">
        <v>2214510</v>
      </c>
      <c r="AE13" s="112">
        <v>1001317</v>
      </c>
      <c r="AF13" s="112">
        <v>1916157</v>
      </c>
      <c r="AG13" s="112">
        <v>154109</v>
      </c>
      <c r="AH13" s="113">
        <f t="shared" si="0"/>
        <v>13775103.32</v>
      </c>
    </row>
    <row r="14" spans="1:34" s="110" customFormat="1" ht="15" customHeight="1" x14ac:dyDescent="0.25">
      <c r="A14" s="111" t="s">
        <v>32</v>
      </c>
      <c r="B14" s="112">
        <f>B15-B13-B12-B11-B10-B9-B8-B7-B6-B5-B4</f>
        <v>184036</v>
      </c>
      <c r="C14" s="112">
        <f t="shared" ref="C14:AG14" si="1">C15-C13-C12-C11-C10-C9-C8-C7-C6-C5-C4</f>
        <v>567833</v>
      </c>
      <c r="D14" s="112">
        <f t="shared" si="1"/>
        <v>33604205</v>
      </c>
      <c r="E14" s="112">
        <f t="shared" si="1"/>
        <v>2778274</v>
      </c>
      <c r="F14" s="112">
        <f t="shared" si="1"/>
        <v>1168148</v>
      </c>
      <c r="G14" s="112">
        <f t="shared" si="1"/>
        <v>2023623</v>
      </c>
      <c r="H14" s="112">
        <f t="shared" si="1"/>
        <v>900122.64000000455</v>
      </c>
      <c r="I14" s="112">
        <f t="shared" si="1"/>
        <v>30458</v>
      </c>
      <c r="J14" s="112">
        <f t="shared" si="1"/>
        <v>740125</v>
      </c>
      <c r="K14" s="112">
        <f t="shared" si="1"/>
        <v>1160348</v>
      </c>
      <c r="L14" s="112">
        <f t="shared" si="1"/>
        <v>778892</v>
      </c>
      <c r="M14" s="112">
        <f t="shared" si="1"/>
        <v>3143009</v>
      </c>
      <c r="N14" s="112">
        <f t="shared" si="1"/>
        <v>2574083</v>
      </c>
      <c r="O14" s="112">
        <f t="shared" si="1"/>
        <v>462480</v>
      </c>
      <c r="P14" s="112">
        <f t="shared" si="1"/>
        <v>447272</v>
      </c>
      <c r="Q14" s="112">
        <f t="shared" si="1"/>
        <v>570861</v>
      </c>
      <c r="R14" s="112">
        <f t="shared" si="1"/>
        <v>910592</v>
      </c>
      <c r="S14" s="112">
        <f t="shared" si="1"/>
        <v>463820</v>
      </c>
      <c r="T14" s="112">
        <f t="shared" si="1"/>
        <v>2330784</v>
      </c>
      <c r="U14" s="112">
        <f t="shared" si="1"/>
        <v>9028</v>
      </c>
      <c r="V14" s="112">
        <f t="shared" si="1"/>
        <v>26493</v>
      </c>
      <c r="W14" s="112">
        <f t="shared" si="1"/>
        <v>6078801</v>
      </c>
      <c r="X14" s="112">
        <f t="shared" si="1"/>
        <v>1097996</v>
      </c>
      <c r="Y14" s="112">
        <f t="shared" si="1"/>
        <v>304269</v>
      </c>
      <c r="Z14" s="112">
        <f t="shared" si="1"/>
        <v>666701</v>
      </c>
      <c r="AA14" s="112">
        <f t="shared" si="1"/>
        <v>44039064</v>
      </c>
      <c r="AB14" s="112">
        <f t="shared" si="1"/>
        <v>3008982</v>
      </c>
      <c r="AC14" s="112">
        <f>AC15-AC13-AC12-AC11-AC10-AC9-AC8-AC7-AC6-AC5-AC4</f>
        <v>1086147</v>
      </c>
      <c r="AD14" s="112">
        <f t="shared" si="1"/>
        <v>516755</v>
      </c>
      <c r="AE14" s="112">
        <f t="shared" si="1"/>
        <v>1445371</v>
      </c>
      <c r="AF14" s="112">
        <f t="shared" si="1"/>
        <v>1330</v>
      </c>
      <c r="AG14" s="112">
        <f t="shared" si="1"/>
        <v>823490</v>
      </c>
      <c r="AH14" s="113">
        <f t="shared" si="0"/>
        <v>113943392.64000002</v>
      </c>
    </row>
    <row r="15" spans="1:34" s="117" customFormat="1" ht="15" customHeight="1" x14ac:dyDescent="0.25">
      <c r="A15" s="114" t="s">
        <v>42</v>
      </c>
      <c r="B15" s="115">
        <v>2803216</v>
      </c>
      <c r="C15" s="115">
        <v>5673868</v>
      </c>
      <c r="D15" s="115">
        <v>194498801</v>
      </c>
      <c r="E15" s="115">
        <v>142261803</v>
      </c>
      <c r="F15" s="115">
        <v>43976658</v>
      </c>
      <c r="G15" s="115">
        <v>80928323</v>
      </c>
      <c r="H15" s="115">
        <v>73545568.579999998</v>
      </c>
      <c r="I15" s="115">
        <v>2127302</v>
      </c>
      <c r="J15" s="115">
        <v>38601685</v>
      </c>
      <c r="K15" s="115">
        <v>32363026</v>
      </c>
      <c r="L15" s="115">
        <v>112312673</v>
      </c>
      <c r="M15" s="115">
        <v>240994775</v>
      </c>
      <c r="N15" s="115">
        <v>89890112</v>
      </c>
      <c r="O15" s="115">
        <v>4675650</v>
      </c>
      <c r="P15" s="115">
        <v>18895416</v>
      </c>
      <c r="Q15" s="115">
        <v>23174685</v>
      </c>
      <c r="R15" s="115">
        <v>2538713</v>
      </c>
      <c r="S15" s="115">
        <v>6359512</v>
      </c>
      <c r="T15" s="115">
        <v>276898120</v>
      </c>
      <c r="U15" s="115">
        <v>1543702</v>
      </c>
      <c r="V15" s="115">
        <v>3788039</v>
      </c>
      <c r="W15" s="115">
        <v>112487973</v>
      </c>
      <c r="X15" s="115">
        <v>8472864</v>
      </c>
      <c r="Y15" s="115">
        <v>47919101</v>
      </c>
      <c r="Z15" s="115">
        <v>55408082</v>
      </c>
      <c r="AA15" s="115">
        <v>78904838</v>
      </c>
      <c r="AB15" s="112">
        <v>15643045</v>
      </c>
      <c r="AC15" s="115">
        <v>103180452</v>
      </c>
      <c r="AD15" s="115">
        <v>394773634</v>
      </c>
      <c r="AE15" s="115">
        <v>195139868</v>
      </c>
      <c r="AF15" s="115">
        <v>278104810</v>
      </c>
      <c r="AG15" s="115">
        <v>30618344</v>
      </c>
      <c r="AH15" s="116">
        <f t="shared" si="0"/>
        <v>2718504658.5799999</v>
      </c>
    </row>
    <row r="21" spans="18:18" x14ac:dyDescent="0.25">
      <c r="R21" s="118"/>
    </row>
    <row r="22" spans="18:18" x14ac:dyDescent="0.25">
      <c r="R22" s="118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5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46.5703125" style="42" bestFit="1" customWidth="1"/>
    <col min="2" max="2" width="12.85546875" style="6" customWidth="1"/>
    <col min="3" max="5" width="12.85546875" style="42" customWidth="1"/>
    <col min="6" max="6" width="12.85546875" style="45" customWidth="1"/>
    <col min="7" max="7" width="12.85546875" style="76" customWidth="1"/>
    <col min="8" max="10" width="12.85546875" style="42" customWidth="1"/>
    <col min="11" max="11" width="12.85546875" style="45" customWidth="1"/>
    <col min="12" max="12" width="12.85546875" style="76" customWidth="1"/>
    <col min="13" max="16" width="12.85546875" style="42" customWidth="1"/>
    <col min="17" max="17" width="12.85546875" style="6" customWidth="1"/>
    <col min="18" max="20" width="12.85546875" style="42" customWidth="1"/>
    <col min="21" max="21" width="12.85546875" style="45" customWidth="1"/>
    <col min="22" max="22" width="12.85546875" style="6" customWidth="1"/>
    <col min="23" max="25" width="12.85546875" style="42" customWidth="1"/>
    <col min="26" max="26" width="12.85546875" style="45" customWidth="1"/>
    <col min="27" max="27" width="12.85546875" style="6" customWidth="1"/>
    <col min="28" max="30" width="12.85546875" style="42" customWidth="1"/>
    <col min="31" max="31" width="12.85546875" style="45" customWidth="1"/>
    <col min="32" max="32" width="12.85546875" style="6" customWidth="1"/>
    <col min="33" max="35" width="12.85546875" style="42" customWidth="1"/>
    <col min="36" max="36" width="12.85546875" style="45" customWidth="1"/>
    <col min="37" max="40" width="12.85546875" style="42" customWidth="1"/>
    <col min="41" max="41" width="12.85546875" style="45" customWidth="1"/>
    <col min="42" max="42" width="12.85546875" style="6" customWidth="1"/>
    <col min="43" max="45" width="12.85546875" style="42" customWidth="1"/>
    <col min="46" max="46" width="12.85546875" style="45" customWidth="1"/>
    <col min="47" max="47" width="12.85546875" style="6" customWidth="1"/>
    <col min="48" max="50" width="12.85546875" style="42" customWidth="1"/>
    <col min="51" max="51" width="12.85546875" style="45" customWidth="1"/>
    <col min="52" max="52" width="12.85546875" style="6" customWidth="1"/>
    <col min="53" max="55" width="12.85546875" style="42" customWidth="1"/>
    <col min="56" max="56" width="12.85546875" style="45" customWidth="1"/>
    <col min="57" max="57" width="12.85546875" style="6" customWidth="1"/>
    <col min="58" max="60" width="12.85546875" style="42" customWidth="1"/>
    <col min="61" max="61" width="12.85546875" style="45" customWidth="1"/>
    <col min="62" max="62" width="12.85546875" style="6" customWidth="1"/>
    <col min="63" max="65" width="12.85546875" style="42" customWidth="1"/>
    <col min="66" max="66" width="12.85546875" style="45" customWidth="1"/>
    <col min="67" max="67" width="12.85546875" style="76" customWidth="1"/>
    <col min="68" max="70" width="12.85546875" style="42" customWidth="1"/>
    <col min="71" max="71" width="12.85546875" style="45" customWidth="1"/>
    <col min="72" max="72" width="12.85546875" style="6" customWidth="1"/>
    <col min="73" max="75" width="12.85546875" style="42" customWidth="1"/>
    <col min="76" max="76" width="12.85546875" style="45" customWidth="1"/>
    <col min="77" max="77" width="12.85546875" style="6" customWidth="1"/>
    <col min="78" max="80" width="12.85546875" style="42" customWidth="1"/>
    <col min="81" max="81" width="12.85546875" style="45" customWidth="1"/>
    <col min="82" max="82" width="12.85546875" style="76" customWidth="1"/>
    <col min="83" max="85" width="12.85546875" style="42" customWidth="1"/>
    <col min="86" max="86" width="12.85546875" style="45" customWidth="1"/>
    <col min="87" max="87" width="12.85546875" style="6" customWidth="1"/>
    <col min="88" max="90" width="12.85546875" style="42" customWidth="1"/>
    <col min="91" max="91" width="12.85546875" style="45" customWidth="1"/>
    <col min="92" max="92" width="12.85546875" style="6" customWidth="1"/>
    <col min="93" max="95" width="12.85546875" style="42" customWidth="1"/>
    <col min="96" max="96" width="12.85546875" style="45" customWidth="1"/>
    <col min="97" max="97" width="12.85546875" style="76" customWidth="1"/>
    <col min="98" max="101" width="12.85546875" style="42" customWidth="1"/>
    <col min="102" max="102" width="12.85546875" style="6" customWidth="1"/>
    <col min="103" max="105" width="12.85546875" style="42" customWidth="1"/>
    <col min="106" max="106" width="12.85546875" style="45" customWidth="1"/>
    <col min="107" max="107" width="12.85546875" style="76" customWidth="1"/>
    <col min="108" max="111" width="12.85546875" style="42" customWidth="1"/>
    <col min="112" max="112" width="12.85546875" style="6" customWidth="1"/>
    <col min="113" max="116" width="12.85546875" style="42" customWidth="1"/>
    <col min="117" max="117" width="12.85546875" style="6" customWidth="1"/>
    <col min="118" max="120" width="12.85546875" style="42" customWidth="1"/>
    <col min="121" max="121" width="12.85546875" style="45" customWidth="1"/>
    <col min="122" max="122" width="12.85546875" style="63" customWidth="1"/>
    <col min="123" max="126" width="12.85546875" style="45" customWidth="1"/>
    <col min="127" max="127" width="12.85546875" style="6" customWidth="1"/>
    <col min="128" max="131" width="12.85546875" style="42" customWidth="1"/>
    <col min="132" max="132" width="12.85546875" style="6" customWidth="1"/>
    <col min="133" max="135" width="12.85546875" style="42" customWidth="1"/>
    <col min="136" max="136" width="12.85546875" style="45" customWidth="1"/>
    <col min="137" max="137" width="12.85546875" style="6" customWidth="1"/>
    <col min="138" max="140" width="12.85546875" style="42" customWidth="1"/>
    <col min="141" max="141" width="12.85546875" style="45" customWidth="1"/>
    <col min="142" max="142" width="12.85546875" style="6" customWidth="1"/>
    <col min="143" max="145" width="12.85546875" style="42" customWidth="1"/>
    <col min="146" max="146" width="12.85546875" style="45" customWidth="1"/>
    <col min="147" max="150" width="12.85546875" style="42" customWidth="1"/>
    <col min="151" max="151" width="12.85546875" style="45" customWidth="1"/>
    <col min="152" max="152" width="12.85546875" style="6" customWidth="1"/>
    <col min="153" max="155" width="12.85546875" style="42" customWidth="1"/>
    <col min="156" max="156" width="12.85546875" style="45" customWidth="1"/>
    <col min="157" max="157" width="12.85546875" style="6" customWidth="1"/>
    <col min="158" max="160" width="12.85546875" style="42" customWidth="1"/>
    <col min="161" max="161" width="12.85546875" style="45" customWidth="1"/>
    <col min="162" max="16384" width="9.140625" style="42"/>
  </cols>
  <sheetData>
    <row r="1" spans="1:161" ht="34.5" x14ac:dyDescent="0.25">
      <c r="A1" s="55" t="s">
        <v>272</v>
      </c>
    </row>
    <row r="2" spans="1:161" x14ac:dyDescent="0.25">
      <c r="A2" s="43" t="s">
        <v>0</v>
      </c>
      <c r="B2" s="126" t="s">
        <v>1</v>
      </c>
      <c r="C2" s="126"/>
      <c r="D2" s="126"/>
      <c r="E2" s="126"/>
      <c r="F2" s="126"/>
      <c r="G2" s="126" t="s">
        <v>282</v>
      </c>
      <c r="H2" s="126"/>
      <c r="I2" s="126"/>
      <c r="J2" s="126"/>
      <c r="K2" s="126"/>
      <c r="L2" s="126" t="s">
        <v>2</v>
      </c>
      <c r="M2" s="126"/>
      <c r="N2" s="126"/>
      <c r="O2" s="126"/>
      <c r="P2" s="126"/>
      <c r="Q2" s="126" t="s">
        <v>3</v>
      </c>
      <c r="R2" s="126"/>
      <c r="S2" s="126"/>
      <c r="T2" s="126"/>
      <c r="U2" s="126"/>
      <c r="V2" s="126" t="s">
        <v>4</v>
      </c>
      <c r="W2" s="126"/>
      <c r="X2" s="126"/>
      <c r="Y2" s="126"/>
      <c r="Z2" s="126"/>
      <c r="AA2" s="126" t="s">
        <v>283</v>
      </c>
      <c r="AB2" s="126"/>
      <c r="AC2" s="126"/>
      <c r="AD2" s="126"/>
      <c r="AE2" s="126"/>
      <c r="AF2" s="126" t="s">
        <v>6</v>
      </c>
      <c r="AG2" s="126"/>
      <c r="AH2" s="126"/>
      <c r="AI2" s="126"/>
      <c r="AJ2" s="126"/>
      <c r="AK2" s="126" t="s">
        <v>5</v>
      </c>
      <c r="AL2" s="126"/>
      <c r="AM2" s="126"/>
      <c r="AN2" s="126"/>
      <c r="AO2" s="126"/>
      <c r="AP2" s="126" t="s">
        <v>7</v>
      </c>
      <c r="AQ2" s="126"/>
      <c r="AR2" s="126"/>
      <c r="AS2" s="126"/>
      <c r="AT2" s="126"/>
      <c r="AU2" s="126" t="s">
        <v>284</v>
      </c>
      <c r="AV2" s="126"/>
      <c r="AW2" s="126"/>
      <c r="AX2" s="126"/>
      <c r="AY2" s="126"/>
      <c r="AZ2" s="126" t="s">
        <v>8</v>
      </c>
      <c r="BA2" s="126"/>
      <c r="BB2" s="126"/>
      <c r="BC2" s="126"/>
      <c r="BD2" s="126"/>
      <c r="BE2" s="126" t="s">
        <v>9</v>
      </c>
      <c r="BF2" s="126"/>
      <c r="BG2" s="126"/>
      <c r="BH2" s="126"/>
      <c r="BI2" s="126"/>
      <c r="BJ2" s="126" t="s">
        <v>10</v>
      </c>
      <c r="BK2" s="126"/>
      <c r="BL2" s="126"/>
      <c r="BM2" s="126"/>
      <c r="BN2" s="126"/>
      <c r="BO2" s="126" t="s">
        <v>293</v>
      </c>
      <c r="BP2" s="126"/>
      <c r="BQ2" s="126"/>
      <c r="BR2" s="126"/>
      <c r="BS2" s="126"/>
      <c r="BT2" s="126" t="s">
        <v>11</v>
      </c>
      <c r="BU2" s="126"/>
      <c r="BV2" s="126"/>
      <c r="BW2" s="126"/>
      <c r="BX2" s="126"/>
      <c r="BY2" s="126" t="s">
        <v>12</v>
      </c>
      <c r="BZ2" s="126"/>
      <c r="CA2" s="126"/>
      <c r="CB2" s="126"/>
      <c r="CC2" s="126"/>
      <c r="CD2" s="126" t="s">
        <v>285</v>
      </c>
      <c r="CE2" s="126"/>
      <c r="CF2" s="126"/>
      <c r="CG2" s="126"/>
      <c r="CH2" s="126"/>
      <c r="CI2" s="126" t="s">
        <v>290</v>
      </c>
      <c r="CJ2" s="126"/>
      <c r="CK2" s="126"/>
      <c r="CL2" s="126"/>
      <c r="CM2" s="126"/>
      <c r="CN2" s="126" t="s">
        <v>13</v>
      </c>
      <c r="CO2" s="126"/>
      <c r="CP2" s="126"/>
      <c r="CQ2" s="126"/>
      <c r="CR2" s="126"/>
      <c r="CS2" s="126" t="s">
        <v>286</v>
      </c>
      <c r="CT2" s="126"/>
      <c r="CU2" s="126"/>
      <c r="CV2" s="126"/>
      <c r="CW2" s="126"/>
      <c r="CX2" s="126" t="s">
        <v>287</v>
      </c>
      <c r="CY2" s="126"/>
      <c r="CZ2" s="126"/>
      <c r="DA2" s="126"/>
      <c r="DB2" s="126"/>
      <c r="DC2" s="126" t="s">
        <v>291</v>
      </c>
      <c r="DD2" s="126"/>
      <c r="DE2" s="126"/>
      <c r="DF2" s="126"/>
      <c r="DG2" s="126"/>
      <c r="DH2" s="126" t="s">
        <v>294</v>
      </c>
      <c r="DI2" s="126"/>
      <c r="DJ2" s="126"/>
      <c r="DK2" s="126"/>
      <c r="DL2" s="126"/>
      <c r="DM2" s="126" t="s">
        <v>14</v>
      </c>
      <c r="DN2" s="126"/>
      <c r="DO2" s="126"/>
      <c r="DP2" s="126"/>
      <c r="DQ2" s="126"/>
      <c r="DR2" s="126" t="s">
        <v>15</v>
      </c>
      <c r="DS2" s="126"/>
      <c r="DT2" s="126"/>
      <c r="DU2" s="126"/>
      <c r="DV2" s="126"/>
      <c r="DW2" s="126" t="s">
        <v>16</v>
      </c>
      <c r="DX2" s="126"/>
      <c r="DY2" s="126"/>
      <c r="DZ2" s="126"/>
      <c r="EA2" s="126"/>
      <c r="EB2" s="126" t="s">
        <v>17</v>
      </c>
      <c r="EC2" s="126"/>
      <c r="ED2" s="126"/>
      <c r="EE2" s="126"/>
      <c r="EF2" s="126"/>
      <c r="EG2" s="126" t="s">
        <v>18</v>
      </c>
      <c r="EH2" s="126"/>
      <c r="EI2" s="126"/>
      <c r="EJ2" s="126"/>
      <c r="EK2" s="126"/>
      <c r="EL2" s="126" t="s">
        <v>288</v>
      </c>
      <c r="EM2" s="126"/>
      <c r="EN2" s="126"/>
      <c r="EO2" s="126"/>
      <c r="EP2" s="126"/>
      <c r="EQ2" s="126" t="s">
        <v>289</v>
      </c>
      <c r="ER2" s="126"/>
      <c r="ES2" s="126"/>
      <c r="ET2" s="126"/>
      <c r="EU2" s="126"/>
      <c r="EV2" s="126" t="s">
        <v>19</v>
      </c>
      <c r="EW2" s="126"/>
      <c r="EX2" s="126"/>
      <c r="EY2" s="126"/>
      <c r="EZ2" s="126"/>
      <c r="FA2" s="126" t="s">
        <v>20</v>
      </c>
      <c r="FB2" s="126"/>
      <c r="FC2" s="126"/>
      <c r="FD2" s="126"/>
      <c r="FE2" s="126"/>
    </row>
    <row r="3" spans="1:161" ht="15" customHeight="1" x14ac:dyDescent="0.25">
      <c r="A3" s="128" t="s">
        <v>168</v>
      </c>
      <c r="B3" s="127" t="s">
        <v>162</v>
      </c>
      <c r="C3" s="128" t="s">
        <v>163</v>
      </c>
      <c r="D3" s="128"/>
      <c r="E3" s="128"/>
      <c r="F3" s="129" t="s">
        <v>164</v>
      </c>
      <c r="G3" s="127" t="s">
        <v>162</v>
      </c>
      <c r="H3" s="128" t="s">
        <v>163</v>
      </c>
      <c r="I3" s="128"/>
      <c r="J3" s="128"/>
      <c r="K3" s="129" t="s">
        <v>164</v>
      </c>
      <c r="L3" s="127" t="s">
        <v>162</v>
      </c>
      <c r="M3" s="128" t="s">
        <v>163</v>
      </c>
      <c r="N3" s="128"/>
      <c r="O3" s="128"/>
      <c r="P3" s="128" t="s">
        <v>164</v>
      </c>
      <c r="Q3" s="127" t="s">
        <v>162</v>
      </c>
      <c r="R3" s="128" t="s">
        <v>163</v>
      </c>
      <c r="S3" s="128"/>
      <c r="T3" s="128"/>
      <c r="U3" s="129" t="s">
        <v>164</v>
      </c>
      <c r="V3" s="127" t="s">
        <v>162</v>
      </c>
      <c r="W3" s="128" t="s">
        <v>163</v>
      </c>
      <c r="X3" s="128"/>
      <c r="Y3" s="128"/>
      <c r="Z3" s="129" t="s">
        <v>164</v>
      </c>
      <c r="AA3" s="127" t="s">
        <v>162</v>
      </c>
      <c r="AB3" s="128" t="s">
        <v>163</v>
      </c>
      <c r="AC3" s="128"/>
      <c r="AD3" s="128"/>
      <c r="AE3" s="129" t="s">
        <v>164</v>
      </c>
      <c r="AF3" s="127" t="s">
        <v>162</v>
      </c>
      <c r="AG3" s="128" t="s">
        <v>163</v>
      </c>
      <c r="AH3" s="128"/>
      <c r="AI3" s="128"/>
      <c r="AJ3" s="129" t="s">
        <v>164</v>
      </c>
      <c r="AK3" s="128" t="s">
        <v>162</v>
      </c>
      <c r="AL3" s="128" t="s">
        <v>163</v>
      </c>
      <c r="AM3" s="128"/>
      <c r="AN3" s="128"/>
      <c r="AO3" s="129" t="s">
        <v>164</v>
      </c>
      <c r="AP3" s="127" t="s">
        <v>162</v>
      </c>
      <c r="AQ3" s="128" t="s">
        <v>163</v>
      </c>
      <c r="AR3" s="128"/>
      <c r="AS3" s="128"/>
      <c r="AT3" s="129" t="s">
        <v>164</v>
      </c>
      <c r="AU3" s="127" t="s">
        <v>162</v>
      </c>
      <c r="AV3" s="128" t="s">
        <v>163</v>
      </c>
      <c r="AW3" s="128"/>
      <c r="AX3" s="128"/>
      <c r="AY3" s="129" t="s">
        <v>164</v>
      </c>
      <c r="AZ3" s="127" t="s">
        <v>162</v>
      </c>
      <c r="BA3" s="128" t="s">
        <v>163</v>
      </c>
      <c r="BB3" s="128"/>
      <c r="BC3" s="128"/>
      <c r="BD3" s="129" t="s">
        <v>164</v>
      </c>
      <c r="BE3" s="127" t="s">
        <v>162</v>
      </c>
      <c r="BF3" s="128" t="s">
        <v>163</v>
      </c>
      <c r="BG3" s="128"/>
      <c r="BH3" s="128"/>
      <c r="BI3" s="129" t="s">
        <v>164</v>
      </c>
      <c r="BJ3" s="127" t="s">
        <v>162</v>
      </c>
      <c r="BK3" s="128" t="s">
        <v>163</v>
      </c>
      <c r="BL3" s="128"/>
      <c r="BM3" s="128"/>
      <c r="BN3" s="129" t="s">
        <v>164</v>
      </c>
      <c r="BO3" s="127" t="s">
        <v>162</v>
      </c>
      <c r="BP3" s="128" t="s">
        <v>163</v>
      </c>
      <c r="BQ3" s="128"/>
      <c r="BR3" s="128"/>
      <c r="BS3" s="129" t="s">
        <v>164</v>
      </c>
      <c r="BT3" s="127" t="s">
        <v>162</v>
      </c>
      <c r="BU3" s="128" t="s">
        <v>163</v>
      </c>
      <c r="BV3" s="128"/>
      <c r="BW3" s="128"/>
      <c r="BX3" s="129" t="s">
        <v>164</v>
      </c>
      <c r="BY3" s="127" t="s">
        <v>162</v>
      </c>
      <c r="BZ3" s="128" t="s">
        <v>163</v>
      </c>
      <c r="CA3" s="128"/>
      <c r="CB3" s="128"/>
      <c r="CC3" s="129" t="s">
        <v>164</v>
      </c>
      <c r="CD3" s="127" t="s">
        <v>162</v>
      </c>
      <c r="CE3" s="128" t="s">
        <v>163</v>
      </c>
      <c r="CF3" s="128"/>
      <c r="CG3" s="128"/>
      <c r="CH3" s="129" t="s">
        <v>164</v>
      </c>
      <c r="CI3" s="127" t="s">
        <v>162</v>
      </c>
      <c r="CJ3" s="128" t="s">
        <v>163</v>
      </c>
      <c r="CK3" s="128"/>
      <c r="CL3" s="128"/>
      <c r="CM3" s="129" t="s">
        <v>164</v>
      </c>
      <c r="CN3" s="127" t="s">
        <v>162</v>
      </c>
      <c r="CO3" s="128" t="s">
        <v>163</v>
      </c>
      <c r="CP3" s="128"/>
      <c r="CQ3" s="128"/>
      <c r="CR3" s="129" t="s">
        <v>164</v>
      </c>
      <c r="CS3" s="127" t="s">
        <v>162</v>
      </c>
      <c r="CT3" s="128" t="s">
        <v>163</v>
      </c>
      <c r="CU3" s="128"/>
      <c r="CV3" s="128"/>
      <c r="CW3" s="130" t="s">
        <v>164</v>
      </c>
      <c r="CX3" s="127" t="s">
        <v>162</v>
      </c>
      <c r="CY3" s="128" t="s">
        <v>163</v>
      </c>
      <c r="CZ3" s="128"/>
      <c r="DA3" s="128"/>
      <c r="DB3" s="129" t="s">
        <v>164</v>
      </c>
      <c r="DC3" s="127" t="s">
        <v>162</v>
      </c>
      <c r="DD3" s="128" t="s">
        <v>163</v>
      </c>
      <c r="DE3" s="128"/>
      <c r="DF3" s="128"/>
      <c r="DG3" s="130" t="s">
        <v>164</v>
      </c>
      <c r="DH3" s="127" t="s">
        <v>162</v>
      </c>
      <c r="DI3" s="128" t="s">
        <v>163</v>
      </c>
      <c r="DJ3" s="128"/>
      <c r="DK3" s="128"/>
      <c r="DL3" s="130" t="s">
        <v>164</v>
      </c>
      <c r="DM3" s="127" t="s">
        <v>162</v>
      </c>
      <c r="DN3" s="128" t="s">
        <v>163</v>
      </c>
      <c r="DO3" s="128"/>
      <c r="DP3" s="128"/>
      <c r="DQ3" s="129" t="s">
        <v>164</v>
      </c>
      <c r="DR3" s="127" t="s">
        <v>162</v>
      </c>
      <c r="DS3" s="128" t="s">
        <v>163</v>
      </c>
      <c r="DT3" s="128"/>
      <c r="DU3" s="128"/>
      <c r="DV3" s="129" t="s">
        <v>164</v>
      </c>
      <c r="DW3" s="127" t="s">
        <v>162</v>
      </c>
      <c r="DX3" s="128" t="s">
        <v>163</v>
      </c>
      <c r="DY3" s="128"/>
      <c r="DZ3" s="128"/>
      <c r="EA3" s="130" t="s">
        <v>164</v>
      </c>
      <c r="EB3" s="127" t="s">
        <v>162</v>
      </c>
      <c r="EC3" s="128" t="s">
        <v>163</v>
      </c>
      <c r="ED3" s="128"/>
      <c r="EE3" s="128"/>
      <c r="EF3" s="129" t="s">
        <v>164</v>
      </c>
      <c r="EG3" s="127" t="s">
        <v>162</v>
      </c>
      <c r="EH3" s="128" t="s">
        <v>163</v>
      </c>
      <c r="EI3" s="128"/>
      <c r="EJ3" s="128"/>
      <c r="EK3" s="129" t="s">
        <v>164</v>
      </c>
      <c r="EL3" s="127" t="s">
        <v>162</v>
      </c>
      <c r="EM3" s="128" t="s">
        <v>163</v>
      </c>
      <c r="EN3" s="128"/>
      <c r="EO3" s="128"/>
      <c r="EP3" s="129" t="s">
        <v>164</v>
      </c>
      <c r="EQ3" s="128" t="s">
        <v>162</v>
      </c>
      <c r="ER3" s="128" t="s">
        <v>163</v>
      </c>
      <c r="ES3" s="128"/>
      <c r="ET3" s="128"/>
      <c r="EU3" s="129" t="s">
        <v>164</v>
      </c>
      <c r="EV3" s="127" t="s">
        <v>162</v>
      </c>
      <c r="EW3" s="128" t="s">
        <v>163</v>
      </c>
      <c r="EX3" s="128"/>
      <c r="EY3" s="128"/>
      <c r="EZ3" s="129" t="s">
        <v>164</v>
      </c>
      <c r="FA3" s="127" t="s">
        <v>162</v>
      </c>
      <c r="FB3" s="128" t="s">
        <v>163</v>
      </c>
      <c r="FC3" s="128"/>
      <c r="FD3" s="128"/>
      <c r="FE3" s="129" t="s">
        <v>164</v>
      </c>
    </row>
    <row r="4" spans="1:161" ht="30" x14ac:dyDescent="0.25">
      <c r="A4" s="128"/>
      <c r="B4" s="127"/>
      <c r="C4" s="17" t="s">
        <v>165</v>
      </c>
      <c r="D4" s="17" t="s">
        <v>166</v>
      </c>
      <c r="E4" s="17" t="s">
        <v>167</v>
      </c>
      <c r="F4" s="129"/>
      <c r="G4" s="127"/>
      <c r="H4" s="17" t="s">
        <v>165</v>
      </c>
      <c r="I4" s="17" t="s">
        <v>166</v>
      </c>
      <c r="J4" s="17" t="s">
        <v>167</v>
      </c>
      <c r="K4" s="129"/>
      <c r="L4" s="127"/>
      <c r="M4" s="17" t="s">
        <v>165</v>
      </c>
      <c r="N4" s="17" t="s">
        <v>166</v>
      </c>
      <c r="O4" s="17" t="s">
        <v>167</v>
      </c>
      <c r="P4" s="128"/>
      <c r="Q4" s="127"/>
      <c r="R4" s="17" t="s">
        <v>165</v>
      </c>
      <c r="S4" s="17" t="s">
        <v>166</v>
      </c>
      <c r="T4" s="17" t="s">
        <v>167</v>
      </c>
      <c r="U4" s="129"/>
      <c r="V4" s="127"/>
      <c r="W4" s="17" t="s">
        <v>165</v>
      </c>
      <c r="X4" s="17" t="s">
        <v>166</v>
      </c>
      <c r="Y4" s="17" t="s">
        <v>167</v>
      </c>
      <c r="Z4" s="129"/>
      <c r="AA4" s="127"/>
      <c r="AB4" s="17" t="s">
        <v>165</v>
      </c>
      <c r="AC4" s="17" t="s">
        <v>166</v>
      </c>
      <c r="AD4" s="17" t="s">
        <v>167</v>
      </c>
      <c r="AE4" s="129"/>
      <c r="AF4" s="127"/>
      <c r="AG4" s="17" t="s">
        <v>165</v>
      </c>
      <c r="AH4" s="17" t="s">
        <v>166</v>
      </c>
      <c r="AI4" s="17" t="s">
        <v>167</v>
      </c>
      <c r="AJ4" s="129"/>
      <c r="AK4" s="128"/>
      <c r="AL4" s="17" t="s">
        <v>165</v>
      </c>
      <c r="AM4" s="17" t="s">
        <v>166</v>
      </c>
      <c r="AN4" s="17" t="s">
        <v>167</v>
      </c>
      <c r="AO4" s="129"/>
      <c r="AP4" s="127"/>
      <c r="AQ4" s="17" t="s">
        <v>165</v>
      </c>
      <c r="AR4" s="17" t="s">
        <v>166</v>
      </c>
      <c r="AS4" s="17" t="s">
        <v>167</v>
      </c>
      <c r="AT4" s="129"/>
      <c r="AU4" s="127"/>
      <c r="AV4" s="17" t="s">
        <v>165</v>
      </c>
      <c r="AW4" s="17" t="s">
        <v>166</v>
      </c>
      <c r="AX4" s="17" t="s">
        <v>167</v>
      </c>
      <c r="AY4" s="129"/>
      <c r="AZ4" s="127"/>
      <c r="BA4" s="17" t="s">
        <v>165</v>
      </c>
      <c r="BB4" s="17" t="s">
        <v>166</v>
      </c>
      <c r="BC4" s="17" t="s">
        <v>167</v>
      </c>
      <c r="BD4" s="129"/>
      <c r="BE4" s="127"/>
      <c r="BF4" s="17" t="s">
        <v>165</v>
      </c>
      <c r="BG4" s="17" t="s">
        <v>166</v>
      </c>
      <c r="BH4" s="17" t="s">
        <v>167</v>
      </c>
      <c r="BI4" s="129"/>
      <c r="BJ4" s="127"/>
      <c r="BK4" s="17" t="s">
        <v>165</v>
      </c>
      <c r="BL4" s="17" t="s">
        <v>166</v>
      </c>
      <c r="BM4" s="17" t="s">
        <v>167</v>
      </c>
      <c r="BN4" s="129"/>
      <c r="BO4" s="127"/>
      <c r="BP4" s="17" t="s">
        <v>165</v>
      </c>
      <c r="BQ4" s="17" t="s">
        <v>166</v>
      </c>
      <c r="BR4" s="17" t="s">
        <v>167</v>
      </c>
      <c r="BS4" s="129"/>
      <c r="BT4" s="127"/>
      <c r="BU4" s="17" t="s">
        <v>165</v>
      </c>
      <c r="BV4" s="17" t="s">
        <v>166</v>
      </c>
      <c r="BW4" s="17" t="s">
        <v>167</v>
      </c>
      <c r="BX4" s="129"/>
      <c r="BY4" s="127"/>
      <c r="BZ4" s="17" t="s">
        <v>165</v>
      </c>
      <c r="CA4" s="17" t="s">
        <v>166</v>
      </c>
      <c r="CB4" s="17" t="s">
        <v>167</v>
      </c>
      <c r="CC4" s="129"/>
      <c r="CD4" s="127"/>
      <c r="CE4" s="17" t="s">
        <v>165</v>
      </c>
      <c r="CF4" s="17" t="s">
        <v>166</v>
      </c>
      <c r="CG4" s="17" t="s">
        <v>167</v>
      </c>
      <c r="CH4" s="129"/>
      <c r="CI4" s="127"/>
      <c r="CJ4" s="17" t="s">
        <v>165</v>
      </c>
      <c r="CK4" s="17" t="s">
        <v>166</v>
      </c>
      <c r="CL4" s="17" t="s">
        <v>167</v>
      </c>
      <c r="CM4" s="129"/>
      <c r="CN4" s="127"/>
      <c r="CO4" s="17" t="s">
        <v>165</v>
      </c>
      <c r="CP4" s="17" t="s">
        <v>166</v>
      </c>
      <c r="CQ4" s="17" t="s">
        <v>167</v>
      </c>
      <c r="CR4" s="129"/>
      <c r="CS4" s="127"/>
      <c r="CT4" s="17" t="s">
        <v>165</v>
      </c>
      <c r="CU4" s="17" t="s">
        <v>166</v>
      </c>
      <c r="CV4" s="17" t="s">
        <v>167</v>
      </c>
      <c r="CW4" s="130"/>
      <c r="CX4" s="127"/>
      <c r="CY4" s="17" t="s">
        <v>165</v>
      </c>
      <c r="CZ4" s="17" t="s">
        <v>166</v>
      </c>
      <c r="DA4" s="17" t="s">
        <v>167</v>
      </c>
      <c r="DB4" s="129"/>
      <c r="DC4" s="127"/>
      <c r="DD4" s="17" t="s">
        <v>165</v>
      </c>
      <c r="DE4" s="17" t="s">
        <v>166</v>
      </c>
      <c r="DF4" s="17" t="s">
        <v>167</v>
      </c>
      <c r="DG4" s="130"/>
      <c r="DH4" s="127"/>
      <c r="DI4" s="17" t="s">
        <v>165</v>
      </c>
      <c r="DJ4" s="17" t="s">
        <v>166</v>
      </c>
      <c r="DK4" s="17" t="s">
        <v>167</v>
      </c>
      <c r="DL4" s="130"/>
      <c r="DM4" s="127"/>
      <c r="DN4" s="17" t="s">
        <v>165</v>
      </c>
      <c r="DO4" s="17" t="s">
        <v>166</v>
      </c>
      <c r="DP4" s="17" t="s">
        <v>167</v>
      </c>
      <c r="DQ4" s="129"/>
      <c r="DR4" s="127"/>
      <c r="DS4" s="17" t="s">
        <v>165</v>
      </c>
      <c r="DT4" s="17" t="s">
        <v>166</v>
      </c>
      <c r="DU4" s="17" t="s">
        <v>167</v>
      </c>
      <c r="DV4" s="129"/>
      <c r="DW4" s="127"/>
      <c r="DX4" s="17" t="s">
        <v>165</v>
      </c>
      <c r="DY4" s="17" t="s">
        <v>166</v>
      </c>
      <c r="DZ4" s="17" t="s">
        <v>167</v>
      </c>
      <c r="EA4" s="130"/>
      <c r="EB4" s="127"/>
      <c r="EC4" s="17" t="s">
        <v>165</v>
      </c>
      <c r="ED4" s="17" t="s">
        <v>166</v>
      </c>
      <c r="EE4" s="17" t="s">
        <v>167</v>
      </c>
      <c r="EF4" s="129"/>
      <c r="EG4" s="127"/>
      <c r="EH4" s="17" t="s">
        <v>165</v>
      </c>
      <c r="EI4" s="17" t="s">
        <v>166</v>
      </c>
      <c r="EJ4" s="17" t="s">
        <v>167</v>
      </c>
      <c r="EK4" s="129"/>
      <c r="EL4" s="127"/>
      <c r="EM4" s="17" t="s">
        <v>165</v>
      </c>
      <c r="EN4" s="17" t="s">
        <v>166</v>
      </c>
      <c r="EO4" s="17" t="s">
        <v>167</v>
      </c>
      <c r="EP4" s="129"/>
      <c r="EQ4" s="128"/>
      <c r="ER4" s="17" t="s">
        <v>165</v>
      </c>
      <c r="ES4" s="17" t="s">
        <v>166</v>
      </c>
      <c r="ET4" s="17" t="s">
        <v>167</v>
      </c>
      <c r="EU4" s="129"/>
      <c r="EV4" s="127"/>
      <c r="EW4" s="17" t="s">
        <v>165</v>
      </c>
      <c r="EX4" s="17" t="s">
        <v>166</v>
      </c>
      <c r="EY4" s="17" t="s">
        <v>167</v>
      </c>
      <c r="EZ4" s="129"/>
      <c r="FA4" s="127"/>
      <c r="FB4" s="17" t="s">
        <v>165</v>
      </c>
      <c r="FC4" s="17" t="s">
        <v>166</v>
      </c>
      <c r="FD4" s="17" t="s">
        <v>167</v>
      </c>
      <c r="FE4" s="129"/>
    </row>
    <row r="5" spans="1:161" x14ac:dyDescent="0.25">
      <c r="A5" s="18" t="s">
        <v>169</v>
      </c>
      <c r="B5" s="84">
        <v>2</v>
      </c>
      <c r="C5" s="85">
        <v>3957</v>
      </c>
      <c r="D5" s="85">
        <v>52.98</v>
      </c>
      <c r="E5" s="18"/>
      <c r="F5" s="39">
        <v>0.64080000000000004</v>
      </c>
      <c r="G5" s="9"/>
      <c r="H5" s="18"/>
      <c r="I5" s="18"/>
      <c r="J5" s="18"/>
      <c r="K5" s="39"/>
      <c r="L5" s="9"/>
      <c r="M5" s="18"/>
      <c r="N5" s="18"/>
      <c r="O5" s="18"/>
      <c r="P5" s="18"/>
      <c r="Q5" s="9"/>
      <c r="R5" s="18"/>
      <c r="S5" s="18"/>
      <c r="T5" s="18"/>
      <c r="U5" s="39"/>
      <c r="V5" s="9"/>
      <c r="W5" s="18"/>
      <c r="X5" s="18"/>
      <c r="Y5" s="18"/>
      <c r="Z5" s="39"/>
      <c r="AA5" s="9"/>
      <c r="AB5" s="18"/>
      <c r="AC5" s="18"/>
      <c r="AD5" s="18"/>
      <c r="AE5" s="39"/>
      <c r="AF5" s="9"/>
      <c r="AG5" s="18"/>
      <c r="AH5" s="18"/>
      <c r="AI5" s="18"/>
      <c r="AJ5" s="39"/>
      <c r="AK5" s="9"/>
      <c r="AL5" s="18"/>
      <c r="AM5" s="18"/>
      <c r="AN5" s="18"/>
      <c r="AO5" s="39"/>
      <c r="AP5" s="9"/>
      <c r="AQ5" s="18"/>
      <c r="AR5" s="18"/>
      <c r="AS5" s="18"/>
      <c r="AT5" s="39"/>
      <c r="AU5" s="84">
        <v>1</v>
      </c>
      <c r="AV5" s="18"/>
      <c r="AW5" s="18"/>
      <c r="AX5" s="84">
        <v>9</v>
      </c>
      <c r="AY5" s="39">
        <v>1E-4</v>
      </c>
      <c r="AZ5" s="9"/>
      <c r="BA5" s="18"/>
      <c r="BB5" s="18"/>
      <c r="BC5" s="18"/>
      <c r="BD5" s="39"/>
      <c r="BE5" s="9"/>
      <c r="BF5" s="18"/>
      <c r="BG5" s="18"/>
      <c r="BH5" s="18"/>
      <c r="BI5" s="39"/>
      <c r="BJ5" s="9"/>
      <c r="BK5" s="18"/>
      <c r="BL5" s="18"/>
      <c r="BM5" s="18"/>
      <c r="BN5" s="39"/>
      <c r="BO5" s="9"/>
      <c r="BP5" s="18"/>
      <c r="BQ5" s="18"/>
      <c r="BR5" s="18"/>
      <c r="BS5" s="39"/>
      <c r="BT5" s="9"/>
      <c r="BU5" s="18"/>
      <c r="BV5" s="18"/>
      <c r="BW5" s="18"/>
      <c r="BX5" s="39"/>
      <c r="BY5" s="9"/>
      <c r="BZ5" s="18"/>
      <c r="CA5" s="18"/>
      <c r="CB5" s="18"/>
      <c r="CC5" s="39"/>
      <c r="CD5" s="9"/>
      <c r="CE5" s="18"/>
      <c r="CF5" s="18"/>
      <c r="CG5" s="18"/>
      <c r="CH5" s="39"/>
      <c r="CI5" s="9"/>
      <c r="CJ5" s="18"/>
      <c r="CK5" s="18"/>
      <c r="CL5" s="18"/>
      <c r="CM5" s="39"/>
      <c r="CN5" s="9"/>
      <c r="CO5" s="18"/>
      <c r="CP5" s="18"/>
      <c r="CQ5" s="18"/>
      <c r="CR5" s="39"/>
      <c r="CS5" s="9"/>
      <c r="CT5" s="18"/>
      <c r="CU5" s="18"/>
      <c r="CV5" s="18"/>
      <c r="CW5" s="18"/>
      <c r="CX5" s="9"/>
      <c r="CY5" s="18"/>
      <c r="CZ5" s="18"/>
      <c r="DA5" s="18"/>
      <c r="DB5" s="39"/>
      <c r="DC5" s="9"/>
      <c r="DD5" s="18"/>
      <c r="DE5" s="18"/>
      <c r="DF5" s="18"/>
      <c r="DG5" s="39"/>
      <c r="DH5" s="9"/>
      <c r="DI5" s="18"/>
      <c r="DJ5" s="18"/>
      <c r="DK5" s="18"/>
      <c r="DL5" s="18"/>
      <c r="DM5" s="9"/>
      <c r="DN5" s="18"/>
      <c r="DO5" s="18"/>
      <c r="DP5" s="18"/>
      <c r="DQ5" s="39"/>
      <c r="DR5" s="64"/>
      <c r="DS5" s="40"/>
      <c r="DT5" s="39"/>
      <c r="DU5" s="39"/>
      <c r="DV5" s="39"/>
      <c r="DW5" s="9"/>
      <c r="DX5" s="18"/>
      <c r="DY5" s="18"/>
      <c r="DZ5" s="18"/>
      <c r="EA5" s="18"/>
      <c r="EB5" s="9"/>
      <c r="EC5" s="18"/>
      <c r="ED5" s="18"/>
      <c r="EE5" s="18"/>
      <c r="EF5" s="39"/>
      <c r="EG5" s="9"/>
      <c r="EH5" s="18"/>
      <c r="EI5" s="18"/>
      <c r="EJ5" s="18"/>
      <c r="EK5" s="39"/>
      <c r="EL5" s="84"/>
      <c r="EM5" s="85"/>
      <c r="EN5" s="18"/>
      <c r="EO5" s="85"/>
      <c r="EP5" s="39"/>
      <c r="EQ5" s="18"/>
      <c r="ER5" s="18"/>
      <c r="ES5" s="18"/>
      <c r="ET5" s="18"/>
      <c r="EU5" s="39"/>
      <c r="EV5" s="9"/>
      <c r="EW5" s="18"/>
      <c r="EX5" s="18"/>
      <c r="EY5" s="18"/>
      <c r="EZ5" s="39"/>
      <c r="FA5" s="9"/>
      <c r="FB5" s="18"/>
      <c r="FC5" s="18"/>
      <c r="FD5" s="18"/>
      <c r="FE5" s="39"/>
    </row>
    <row r="6" spans="1:161" x14ac:dyDescent="0.25">
      <c r="A6" s="18" t="s">
        <v>170</v>
      </c>
      <c r="B6" s="84">
        <v>2</v>
      </c>
      <c r="C6" s="18"/>
      <c r="D6" s="85">
        <v>5.25</v>
      </c>
      <c r="E6" s="85">
        <v>0.03</v>
      </c>
      <c r="F6" s="39">
        <v>8.0000000000000004E-4</v>
      </c>
      <c r="G6" s="9"/>
      <c r="H6" s="18"/>
      <c r="I6" s="18"/>
      <c r="J6" s="18"/>
      <c r="K6" s="39"/>
      <c r="L6" s="103">
        <v>11</v>
      </c>
      <c r="M6" s="101">
        <v>104519.21</v>
      </c>
      <c r="N6" s="101">
        <v>6681.46</v>
      </c>
      <c r="O6" s="40">
        <v>10601.57</v>
      </c>
      <c r="P6" s="39">
        <v>0.2137</v>
      </c>
      <c r="Q6" s="84">
        <v>32</v>
      </c>
      <c r="R6" s="85">
        <v>156148.09</v>
      </c>
      <c r="S6" s="85">
        <v>4375.6899999999996</v>
      </c>
      <c r="T6" s="85">
        <v>26479.18</v>
      </c>
      <c r="U6" s="39">
        <v>0.35909999999999997</v>
      </c>
      <c r="V6" s="84">
        <v>4</v>
      </c>
      <c r="W6" s="85">
        <v>11662.66149</v>
      </c>
      <c r="X6" s="18"/>
      <c r="Y6" s="85">
        <v>6.1232899999999999</v>
      </c>
      <c r="Z6" s="39">
        <v>9.4200000000000006E-2</v>
      </c>
      <c r="AA6" s="84"/>
      <c r="AB6" s="85">
        <v>1979.38</v>
      </c>
      <c r="AC6" s="85">
        <v>-34.72</v>
      </c>
      <c r="AD6" s="18"/>
      <c r="AE6" s="39">
        <v>0.37040000000000001</v>
      </c>
      <c r="AF6" s="9"/>
      <c r="AG6" s="18"/>
      <c r="AH6" s="18"/>
      <c r="AI6" s="18"/>
      <c r="AJ6" s="39"/>
      <c r="AK6" s="84">
        <v>3</v>
      </c>
      <c r="AL6" s="85">
        <v>300.41000000000003</v>
      </c>
      <c r="AM6" s="18"/>
      <c r="AN6" s="18"/>
      <c r="AO6" s="39">
        <v>7.2999999999999995E-2</v>
      </c>
      <c r="AP6" s="84">
        <v>2</v>
      </c>
      <c r="AQ6" s="85">
        <v>3638</v>
      </c>
      <c r="AR6" s="85">
        <v>460</v>
      </c>
      <c r="AS6" s="85">
        <v>145</v>
      </c>
      <c r="AT6" s="39">
        <v>2.63E-2</v>
      </c>
      <c r="AU6" s="84">
        <v>8</v>
      </c>
      <c r="AV6" s="84">
        <v>38298</v>
      </c>
      <c r="AW6" s="84">
        <v>129</v>
      </c>
      <c r="AX6" s="84">
        <v>378</v>
      </c>
      <c r="AY6" s="39">
        <v>0.6351</v>
      </c>
      <c r="AZ6" s="84">
        <v>32</v>
      </c>
      <c r="BA6" s="85">
        <v>356314</v>
      </c>
      <c r="BB6" s="85">
        <v>7849</v>
      </c>
      <c r="BC6" s="85">
        <v>6245</v>
      </c>
      <c r="BD6" s="39">
        <v>0.62360000000000004</v>
      </c>
      <c r="BE6" s="84">
        <v>51</v>
      </c>
      <c r="BF6" s="85">
        <v>48930</v>
      </c>
      <c r="BG6" s="85">
        <v>2392</v>
      </c>
      <c r="BH6" s="85">
        <v>14780</v>
      </c>
      <c r="BI6" s="39">
        <v>0.18</v>
      </c>
      <c r="BJ6" s="84">
        <v>7</v>
      </c>
      <c r="BK6" s="85">
        <v>14503</v>
      </c>
      <c r="BL6" s="85">
        <v>234</v>
      </c>
      <c r="BM6" s="85">
        <v>1780</v>
      </c>
      <c r="BN6" s="39">
        <v>0.05</v>
      </c>
      <c r="BO6" s="9"/>
      <c r="BP6" s="18"/>
      <c r="BQ6" s="18"/>
      <c r="BR6" s="18"/>
      <c r="BS6" s="39"/>
      <c r="BT6" s="84">
        <v>5</v>
      </c>
      <c r="BU6" s="85">
        <v>33</v>
      </c>
      <c r="BV6" s="85">
        <v>18</v>
      </c>
      <c r="BW6" s="85">
        <v>30</v>
      </c>
      <c r="BX6" s="39">
        <v>3.5000000000000001E-3</v>
      </c>
      <c r="BY6" s="84">
        <v>7</v>
      </c>
      <c r="BZ6" s="85">
        <v>17676</v>
      </c>
      <c r="CA6" s="85">
        <v>189</v>
      </c>
      <c r="CB6" s="18"/>
      <c r="CC6" s="39">
        <v>0.32440000000000002</v>
      </c>
      <c r="CD6" s="9"/>
      <c r="CE6" s="18"/>
      <c r="CF6" s="18"/>
      <c r="CG6" s="18"/>
      <c r="CH6" s="39"/>
      <c r="CI6" s="84">
        <v>1</v>
      </c>
      <c r="CJ6" s="85">
        <v>944</v>
      </c>
      <c r="CK6" s="18"/>
      <c r="CL6" s="18"/>
      <c r="CM6" s="39">
        <v>0.02</v>
      </c>
      <c r="CN6" s="9"/>
      <c r="CO6" s="18"/>
      <c r="CP6" s="18"/>
      <c r="CQ6" s="18"/>
      <c r="CR6" s="39"/>
      <c r="CS6" s="9"/>
      <c r="CT6" s="18"/>
      <c r="CU6" s="18"/>
      <c r="CV6" s="18"/>
      <c r="CW6" s="39"/>
      <c r="CX6" s="84">
        <v>1</v>
      </c>
      <c r="CY6" s="18"/>
      <c r="CZ6" s="85">
        <v>2</v>
      </c>
      <c r="DA6" s="18"/>
      <c r="DB6" s="39">
        <v>4.0000000000000002E-4</v>
      </c>
      <c r="DC6" s="9">
        <v>29</v>
      </c>
      <c r="DD6" s="18">
        <v>588</v>
      </c>
      <c r="DE6" s="18">
        <v>413</v>
      </c>
      <c r="DF6" s="18">
        <v>1857</v>
      </c>
      <c r="DG6" s="39">
        <v>6.7999999999999996E-3</v>
      </c>
      <c r="DH6" s="9"/>
      <c r="DI6" s="18"/>
      <c r="DJ6" s="18"/>
      <c r="DK6" s="18"/>
      <c r="DL6" s="65"/>
      <c r="DM6" s="84">
        <v>2</v>
      </c>
      <c r="DN6" s="85">
        <v>189</v>
      </c>
      <c r="DO6" s="85">
        <v>-0.02</v>
      </c>
      <c r="DP6" s="85">
        <v>-347</v>
      </c>
      <c r="DQ6" s="39">
        <v>-2.0999999999999999E-3</v>
      </c>
      <c r="DR6" s="64">
        <v>13</v>
      </c>
      <c r="DS6" s="40">
        <v>9172.41</v>
      </c>
      <c r="DT6" s="40">
        <v>154.75</v>
      </c>
      <c r="DU6" s="40">
        <v>489.7</v>
      </c>
      <c r="DV6" s="39">
        <v>2.3400000000000001E-2</v>
      </c>
      <c r="DW6" s="9"/>
      <c r="DX6" s="18"/>
      <c r="DY6" s="18"/>
      <c r="DZ6" s="18"/>
      <c r="EA6" s="18"/>
      <c r="EB6" s="84">
        <v>1</v>
      </c>
      <c r="EC6" s="85">
        <v>776</v>
      </c>
      <c r="ED6" s="85"/>
      <c r="EE6" s="85"/>
      <c r="EF6" s="39">
        <v>3.5000000000000001E-3</v>
      </c>
      <c r="EG6" s="103">
        <v>33</v>
      </c>
      <c r="EH6" s="101">
        <v>105689</v>
      </c>
      <c r="EI6" s="101">
        <v>5160</v>
      </c>
      <c r="EJ6" s="101">
        <v>5338</v>
      </c>
      <c r="EK6" s="39">
        <v>0.441</v>
      </c>
      <c r="EL6" s="84"/>
      <c r="EM6" s="85"/>
      <c r="EN6" s="85"/>
      <c r="EO6" s="85"/>
      <c r="EP6" s="39"/>
      <c r="EQ6" s="101"/>
      <c r="ER6" s="101">
        <v>9123</v>
      </c>
      <c r="ES6" s="101">
        <v>1320</v>
      </c>
      <c r="ET6" s="101">
        <v>1124</v>
      </c>
      <c r="EU6" s="39">
        <v>5.4399999999999997E-2</v>
      </c>
      <c r="EV6" s="9">
        <v>11</v>
      </c>
      <c r="EW6" s="103">
        <v>180</v>
      </c>
      <c r="EX6" s="103">
        <v>1215</v>
      </c>
      <c r="EY6" s="103">
        <v>216</v>
      </c>
      <c r="EZ6" s="39">
        <v>5.7999999999999996E-3</v>
      </c>
      <c r="FA6" s="103">
        <v>90</v>
      </c>
      <c r="FB6" s="101">
        <v>57312</v>
      </c>
      <c r="FC6" s="101">
        <v>2642</v>
      </c>
      <c r="FD6" s="101">
        <v>13981</v>
      </c>
      <c r="FE6" s="39">
        <v>0.39250000000000002</v>
      </c>
    </row>
    <row r="7" spans="1:161" x14ac:dyDescent="0.25">
      <c r="A7" s="18" t="s">
        <v>171</v>
      </c>
      <c r="B7" s="9"/>
      <c r="C7" s="18"/>
      <c r="D7" s="18"/>
      <c r="E7" s="18"/>
      <c r="F7" s="39"/>
      <c r="G7" s="84">
        <v>3</v>
      </c>
      <c r="H7" s="85">
        <v>7076.42</v>
      </c>
      <c r="I7" s="85">
        <v>8.3699999999999992</v>
      </c>
      <c r="J7" s="18"/>
      <c r="K7" s="39">
        <v>0.76070000000000004</v>
      </c>
      <c r="L7" s="103">
        <v>49</v>
      </c>
      <c r="M7" s="101">
        <v>102151.22</v>
      </c>
      <c r="N7" s="101">
        <v>8988.18</v>
      </c>
      <c r="O7" s="40">
        <v>20596.62</v>
      </c>
      <c r="P7" s="39">
        <v>0.23119999999999999</v>
      </c>
      <c r="Q7" s="84">
        <v>184</v>
      </c>
      <c r="R7" s="85">
        <v>76849.53</v>
      </c>
      <c r="S7" s="85">
        <v>3697.94</v>
      </c>
      <c r="T7" s="85">
        <v>47775.46</v>
      </c>
      <c r="U7" s="39">
        <v>0.24640000000000001</v>
      </c>
      <c r="V7" s="84">
        <v>98</v>
      </c>
      <c r="W7" s="85">
        <v>54367.492839999999</v>
      </c>
      <c r="X7" s="85">
        <v>5862.5885399999997</v>
      </c>
      <c r="Y7" s="85">
        <v>1522.5655400000001</v>
      </c>
      <c r="Z7" s="39">
        <v>0.49869999999999998</v>
      </c>
      <c r="AA7" s="84"/>
      <c r="AB7" s="85">
        <v>2309.86</v>
      </c>
      <c r="AC7" s="85">
        <v>-217.11</v>
      </c>
      <c r="AD7" s="85">
        <v>1208.46</v>
      </c>
      <c r="AE7" s="39">
        <v>0.62880000000000003</v>
      </c>
      <c r="AF7" s="103">
        <v>5</v>
      </c>
      <c r="AG7" s="101">
        <v>8656</v>
      </c>
      <c r="AH7" s="101">
        <v>1354</v>
      </c>
      <c r="AI7" s="18"/>
      <c r="AJ7" s="39">
        <v>0.5</v>
      </c>
      <c r="AK7" s="84">
        <v>4</v>
      </c>
      <c r="AL7" s="85">
        <v>3421.71</v>
      </c>
      <c r="AM7" s="85">
        <v>363.8</v>
      </c>
      <c r="AN7" s="85">
        <v>15.43</v>
      </c>
      <c r="AO7" s="39">
        <v>0.92200000000000004</v>
      </c>
      <c r="AP7" s="84">
        <v>70</v>
      </c>
      <c r="AQ7" s="85">
        <v>19378</v>
      </c>
      <c r="AR7" s="85">
        <v>2079</v>
      </c>
      <c r="AS7" s="85">
        <v>4615</v>
      </c>
      <c r="AT7" s="39">
        <v>0.1618</v>
      </c>
      <c r="AU7" s="84">
        <v>69</v>
      </c>
      <c r="AV7" s="84">
        <v>16907</v>
      </c>
      <c r="AW7" s="84">
        <v>780</v>
      </c>
      <c r="AX7" s="84">
        <v>4608</v>
      </c>
      <c r="AY7" s="39">
        <v>0.36480000000000001</v>
      </c>
      <c r="AZ7" s="84">
        <v>128</v>
      </c>
      <c r="BA7" s="85">
        <v>45509</v>
      </c>
      <c r="BB7" s="85">
        <v>1728</v>
      </c>
      <c r="BC7" s="85">
        <v>9359</v>
      </c>
      <c r="BD7" s="39">
        <v>9.5299999999999996E-2</v>
      </c>
      <c r="BE7" s="84">
        <v>164</v>
      </c>
      <c r="BF7" s="85">
        <v>31253</v>
      </c>
      <c r="BG7" s="85">
        <v>4001</v>
      </c>
      <c r="BH7" s="85">
        <v>24053</v>
      </c>
      <c r="BI7" s="39">
        <v>0.16</v>
      </c>
      <c r="BJ7" s="84">
        <v>143</v>
      </c>
      <c r="BK7" s="85">
        <v>101524</v>
      </c>
      <c r="BL7" s="85">
        <v>6659</v>
      </c>
      <c r="BM7" s="85">
        <v>18757</v>
      </c>
      <c r="BN7" s="39">
        <v>0.39</v>
      </c>
      <c r="BO7" s="84">
        <v>4</v>
      </c>
      <c r="BP7" s="85">
        <v>432</v>
      </c>
      <c r="BQ7" s="85">
        <v>174</v>
      </c>
      <c r="BR7" s="18"/>
      <c r="BS7" s="39">
        <v>8.5999999999999993E-2</v>
      </c>
      <c r="BT7" s="84">
        <v>16</v>
      </c>
      <c r="BU7" s="85">
        <v>4097</v>
      </c>
      <c r="BV7" s="85">
        <v>1714</v>
      </c>
      <c r="BW7" s="85">
        <v>34</v>
      </c>
      <c r="BX7" s="39">
        <v>0.25409999999999999</v>
      </c>
      <c r="BY7" s="84">
        <v>31</v>
      </c>
      <c r="BZ7" s="85">
        <v>5973</v>
      </c>
      <c r="CA7" s="85">
        <v>141</v>
      </c>
      <c r="CB7" s="85">
        <v>2034</v>
      </c>
      <c r="CC7" s="39">
        <v>0.1479</v>
      </c>
      <c r="CD7" s="103">
        <v>1</v>
      </c>
      <c r="CE7" s="101">
        <v>17.8</v>
      </c>
      <c r="CF7" s="101">
        <v>25.55</v>
      </c>
      <c r="CG7" s="18"/>
      <c r="CH7" s="39">
        <v>3.6600000000000001E-2</v>
      </c>
      <c r="CI7" s="84">
        <v>3</v>
      </c>
      <c r="CJ7" s="85">
        <v>39189</v>
      </c>
      <c r="CK7" s="18">
        <v>92</v>
      </c>
      <c r="CL7" s="18"/>
      <c r="CM7" s="39">
        <v>0.98</v>
      </c>
      <c r="CN7" s="9"/>
      <c r="CO7" s="99">
        <v>10442.04609</v>
      </c>
      <c r="CP7" s="100">
        <v>7454.3744420000003</v>
      </c>
      <c r="CQ7" s="101">
        <v>24280.422740000002</v>
      </c>
      <c r="CR7" s="39">
        <v>0.21929999999999999</v>
      </c>
      <c r="CS7" s="84">
        <v>7</v>
      </c>
      <c r="CT7" s="85">
        <v>24</v>
      </c>
      <c r="CU7" s="85">
        <v>94</v>
      </c>
      <c r="CV7" s="18"/>
      <c r="CW7" s="39">
        <v>7.3499999999999996E-2</v>
      </c>
      <c r="CX7" s="84">
        <v>8</v>
      </c>
      <c r="CY7" s="18"/>
      <c r="CZ7" s="85">
        <v>35</v>
      </c>
      <c r="DA7" s="85">
        <v>458</v>
      </c>
      <c r="DB7" s="39">
        <v>9.01E-2</v>
      </c>
      <c r="DC7" s="9">
        <v>138</v>
      </c>
      <c r="DD7" s="18">
        <v>47100</v>
      </c>
      <c r="DE7" s="18">
        <v>3562</v>
      </c>
      <c r="DF7" s="18">
        <v>6034</v>
      </c>
      <c r="DG7" s="39">
        <v>0.13500000000000001</v>
      </c>
      <c r="DH7" s="84">
        <v>1</v>
      </c>
      <c r="DI7" s="85">
        <v>225</v>
      </c>
      <c r="DJ7" s="18"/>
      <c r="DK7" s="18"/>
      <c r="DL7" s="39">
        <v>4.0000000000000001E-3</v>
      </c>
      <c r="DM7" s="84">
        <v>66</v>
      </c>
      <c r="DN7" s="85">
        <v>17787</v>
      </c>
      <c r="DO7" s="85">
        <v>2064.37</v>
      </c>
      <c r="DP7" s="85">
        <v>1526</v>
      </c>
      <c r="DQ7" s="39">
        <v>0.28739999999999999</v>
      </c>
      <c r="DR7" s="64">
        <v>174</v>
      </c>
      <c r="DS7" s="40">
        <v>114270.58</v>
      </c>
      <c r="DT7" s="40">
        <v>6627.87</v>
      </c>
      <c r="DU7" s="40">
        <v>2594.54</v>
      </c>
      <c r="DV7" s="39">
        <v>0.29380000000000001</v>
      </c>
      <c r="DW7" s="84">
        <v>12</v>
      </c>
      <c r="DX7" s="85">
        <v>134.38999999999999</v>
      </c>
      <c r="DY7" s="85">
        <v>129.86000000000001</v>
      </c>
      <c r="DZ7" s="85">
        <v>41.51</v>
      </c>
      <c r="EA7" s="39">
        <v>7.6100000000000001E-2</v>
      </c>
      <c r="EB7" s="84">
        <v>2</v>
      </c>
      <c r="EC7" s="85">
        <v>409</v>
      </c>
      <c r="ED7" s="85">
        <v>72</v>
      </c>
      <c r="EE7" s="85"/>
      <c r="EF7" s="39">
        <v>2.2000000000000001E-3</v>
      </c>
      <c r="EG7" s="103">
        <v>97</v>
      </c>
      <c r="EH7" s="101">
        <v>59228</v>
      </c>
      <c r="EI7" s="101">
        <v>4058</v>
      </c>
      <c r="EJ7" s="101">
        <v>6617</v>
      </c>
      <c r="EK7" s="39">
        <v>0.26529999999999998</v>
      </c>
      <c r="EL7" s="84"/>
      <c r="EM7" s="85"/>
      <c r="EN7" s="85"/>
      <c r="EO7" s="85"/>
      <c r="EP7" s="39"/>
      <c r="EQ7" s="103"/>
      <c r="ER7" s="101">
        <v>12164</v>
      </c>
      <c r="ES7" s="101">
        <v>9211</v>
      </c>
      <c r="ET7" s="101">
        <v>10572</v>
      </c>
      <c r="EU7" s="39">
        <v>0.1502</v>
      </c>
      <c r="EV7" s="9">
        <v>192</v>
      </c>
      <c r="EW7" s="103">
        <v>25189</v>
      </c>
      <c r="EX7" s="103">
        <v>20747</v>
      </c>
      <c r="EY7" s="103">
        <v>17978</v>
      </c>
      <c r="EZ7" s="39">
        <v>0.2298</v>
      </c>
      <c r="FA7" s="103">
        <v>31</v>
      </c>
      <c r="FB7" s="101">
        <v>11922</v>
      </c>
      <c r="FC7" s="101">
        <v>1891</v>
      </c>
      <c r="FD7" s="101">
        <v>34</v>
      </c>
      <c r="FE7" s="39">
        <v>7.3499999999999996E-2</v>
      </c>
    </row>
    <row r="8" spans="1:161" x14ac:dyDescent="0.25">
      <c r="A8" s="18" t="s">
        <v>172</v>
      </c>
      <c r="B8" s="9">
        <v>1</v>
      </c>
      <c r="C8" s="85">
        <v>2199</v>
      </c>
      <c r="D8" s="85">
        <v>40.74</v>
      </c>
      <c r="E8" s="85">
        <v>3.11</v>
      </c>
      <c r="F8" s="39">
        <v>0.3584</v>
      </c>
      <c r="G8" s="84">
        <v>2</v>
      </c>
      <c r="H8" s="85">
        <v>2215.1799999999998</v>
      </c>
      <c r="I8" s="85">
        <v>13.95</v>
      </c>
      <c r="J8" s="18"/>
      <c r="K8" s="39">
        <v>0.23930000000000001</v>
      </c>
      <c r="L8" s="103">
        <v>3</v>
      </c>
      <c r="M8" s="101">
        <v>304646.65000000002</v>
      </c>
      <c r="N8" s="101">
        <v>11710.69</v>
      </c>
      <c r="O8" s="37"/>
      <c r="P8" s="39">
        <v>0.55510000000000004</v>
      </c>
      <c r="Q8" s="84">
        <v>1</v>
      </c>
      <c r="R8" s="85">
        <v>172723.76</v>
      </c>
      <c r="S8" s="85">
        <v>10045.33</v>
      </c>
      <c r="T8" s="85">
        <v>22617.42</v>
      </c>
      <c r="U8" s="39">
        <v>0.39439999999999997</v>
      </c>
      <c r="V8" s="84">
        <v>15</v>
      </c>
      <c r="W8" s="85">
        <v>44555.22522</v>
      </c>
      <c r="X8" s="85">
        <v>4932.5443299999997</v>
      </c>
      <c r="Y8" s="85">
        <v>123.48849</v>
      </c>
      <c r="Z8" s="39">
        <v>0.40060000000000001</v>
      </c>
      <c r="AA8" s="84"/>
      <c r="AB8" s="85">
        <v>4.1900000000000004</v>
      </c>
      <c r="AC8" s="18"/>
      <c r="AD8" s="18"/>
      <c r="AE8" s="39">
        <v>8.0000000000000004E-4</v>
      </c>
      <c r="AF8" s="103">
        <v>3</v>
      </c>
      <c r="AG8" s="101">
        <v>9677</v>
      </c>
      <c r="AH8" s="101">
        <v>295</v>
      </c>
      <c r="AI8" s="18"/>
      <c r="AJ8" s="39">
        <v>0.5</v>
      </c>
      <c r="AK8" s="84">
        <v>12</v>
      </c>
      <c r="AL8" s="85">
        <v>19.88</v>
      </c>
      <c r="AM8" s="18"/>
      <c r="AN8" s="18"/>
      <c r="AO8" s="39">
        <v>5.0000000000000001E-3</v>
      </c>
      <c r="AP8" s="84">
        <v>10</v>
      </c>
      <c r="AQ8" s="85">
        <v>7505</v>
      </c>
      <c r="AR8" s="85">
        <v>910</v>
      </c>
      <c r="AS8" s="85">
        <v>439</v>
      </c>
      <c r="AT8" s="39">
        <v>5.4899999999999997E-2</v>
      </c>
      <c r="AU8" s="9"/>
      <c r="AV8" s="18"/>
      <c r="AW8" s="18"/>
      <c r="AX8" s="18"/>
      <c r="AY8" s="39"/>
      <c r="AZ8" s="84">
        <v>7</v>
      </c>
      <c r="BA8" s="85">
        <v>153203</v>
      </c>
      <c r="BB8" s="85">
        <v>7258</v>
      </c>
      <c r="BC8" s="85">
        <v>1745</v>
      </c>
      <c r="BD8" s="39">
        <v>0.27310000000000001</v>
      </c>
      <c r="BE8" s="84">
        <v>6</v>
      </c>
      <c r="BF8" s="85">
        <v>185571</v>
      </c>
      <c r="BG8" s="85">
        <v>15071</v>
      </c>
      <c r="BH8" s="85">
        <v>11226</v>
      </c>
      <c r="BI8" s="39">
        <v>0.57999999999999996</v>
      </c>
      <c r="BJ8" s="84">
        <v>38</v>
      </c>
      <c r="BK8" s="85">
        <v>154479</v>
      </c>
      <c r="BL8" s="85">
        <v>7711</v>
      </c>
      <c r="BM8" s="85">
        <v>8079</v>
      </c>
      <c r="BN8" s="39">
        <v>0.53</v>
      </c>
      <c r="BO8" s="84">
        <v>1</v>
      </c>
      <c r="BP8" s="85">
        <v>5960</v>
      </c>
      <c r="BQ8" s="85">
        <v>393</v>
      </c>
      <c r="BR8" s="18"/>
      <c r="BS8" s="39">
        <v>0.9</v>
      </c>
      <c r="BT8" s="84">
        <v>1</v>
      </c>
      <c r="BU8" s="85">
        <v>15297</v>
      </c>
      <c r="BV8" s="85">
        <v>1759</v>
      </c>
      <c r="BW8" s="85">
        <v>25</v>
      </c>
      <c r="BX8" s="39">
        <v>0.74239999999999995</v>
      </c>
      <c r="BY8" s="84">
        <v>5</v>
      </c>
      <c r="BZ8" s="85">
        <v>28842</v>
      </c>
      <c r="CA8" s="85">
        <v>469</v>
      </c>
      <c r="CB8" s="85">
        <v>-80</v>
      </c>
      <c r="CC8" s="39">
        <v>0.53069999999999995</v>
      </c>
      <c r="CD8" s="103">
        <v>1</v>
      </c>
      <c r="CE8" s="101">
        <v>1135.52</v>
      </c>
      <c r="CF8" s="101">
        <v>6.86</v>
      </c>
      <c r="CG8" s="18"/>
      <c r="CH8" s="39">
        <v>0.96340000000000003</v>
      </c>
      <c r="CI8" s="9"/>
      <c r="CJ8" s="18"/>
      <c r="CK8" s="18"/>
      <c r="CL8" s="18"/>
      <c r="CM8" s="39"/>
      <c r="CN8" s="9"/>
      <c r="CO8" s="99">
        <v>3582.0764519999998</v>
      </c>
      <c r="CP8" s="100">
        <v>1506.7254849999999</v>
      </c>
      <c r="CQ8" s="101">
        <v>370.65162400000003</v>
      </c>
      <c r="CR8" s="39">
        <v>2.8400000000000002E-2</v>
      </c>
      <c r="CS8" s="84">
        <v>9</v>
      </c>
      <c r="CT8" s="85">
        <v>1126</v>
      </c>
      <c r="CU8" s="85">
        <v>354</v>
      </c>
      <c r="CV8" s="18"/>
      <c r="CW8" s="39">
        <v>0.92069999999999996</v>
      </c>
      <c r="CX8" s="84">
        <v>2</v>
      </c>
      <c r="CY8" s="85">
        <v>2994</v>
      </c>
      <c r="CZ8" s="85">
        <v>1896</v>
      </c>
      <c r="DA8" s="85">
        <v>87</v>
      </c>
      <c r="DB8" s="39">
        <v>0.90949999999999998</v>
      </c>
      <c r="DC8" s="9">
        <v>11</v>
      </c>
      <c r="DD8" s="18">
        <v>263776</v>
      </c>
      <c r="DE8" s="18">
        <v>11607</v>
      </c>
      <c r="DF8" s="18">
        <v>5168</v>
      </c>
      <c r="DG8" s="39">
        <v>0.66820000000000002</v>
      </c>
      <c r="DH8" s="84">
        <v>1</v>
      </c>
      <c r="DI8" s="85">
        <v>60070</v>
      </c>
      <c r="DJ8" s="85">
        <v>406</v>
      </c>
      <c r="DK8" s="18">
        <v>18</v>
      </c>
      <c r="DL8" s="39">
        <v>0.996</v>
      </c>
      <c r="DM8" s="84">
        <v>21</v>
      </c>
      <c r="DN8" s="85">
        <v>48978</v>
      </c>
      <c r="DO8" s="85">
        <v>1214.31</v>
      </c>
      <c r="DP8" s="85">
        <v>2970</v>
      </c>
      <c r="DQ8" s="39">
        <v>0.7147</v>
      </c>
      <c r="DR8" s="64">
        <v>2</v>
      </c>
      <c r="DS8" s="40">
        <v>216039.05</v>
      </c>
      <c r="DT8" s="40">
        <v>6902.21</v>
      </c>
      <c r="DU8" s="40">
        <v>1960.17</v>
      </c>
      <c r="DV8" s="39">
        <v>0.53500000000000003</v>
      </c>
      <c r="DW8" s="84">
        <v>6</v>
      </c>
      <c r="DX8" s="85">
        <v>31.75</v>
      </c>
      <c r="DY8" s="85">
        <v>32.29</v>
      </c>
      <c r="DZ8" s="85"/>
      <c r="EA8" s="39">
        <v>1.5900000000000001E-2</v>
      </c>
      <c r="EB8" s="84">
        <v>1</v>
      </c>
      <c r="EC8" s="85">
        <v>219367</v>
      </c>
      <c r="ED8" s="85">
        <v>288</v>
      </c>
      <c r="EE8" s="85"/>
      <c r="EF8" s="39">
        <v>0.99429999999999996</v>
      </c>
      <c r="EG8" s="84"/>
      <c r="EH8" s="85"/>
      <c r="EI8" s="85"/>
      <c r="EJ8" s="85"/>
      <c r="EK8" s="39"/>
      <c r="EL8" s="84"/>
      <c r="EM8" s="85"/>
      <c r="EN8" s="85"/>
      <c r="EO8" s="85"/>
      <c r="EP8" s="39"/>
      <c r="EQ8" s="101"/>
      <c r="ER8" s="101">
        <f>4953+3597+13</f>
        <v>8563</v>
      </c>
      <c r="ES8" s="101">
        <f>1971+1182+17</f>
        <v>3170</v>
      </c>
      <c r="ET8" s="101">
        <f>86+205+3</f>
        <v>294</v>
      </c>
      <c r="EU8" s="39">
        <v>5.6599999999999998E-2</v>
      </c>
      <c r="EV8" s="9">
        <v>27</v>
      </c>
      <c r="EW8" s="103">
        <v>4851</v>
      </c>
      <c r="EX8" s="103">
        <v>3863</v>
      </c>
      <c r="EY8" s="103">
        <v>4880</v>
      </c>
      <c r="EZ8" s="39">
        <v>4.8899999999999999E-2</v>
      </c>
      <c r="FA8" s="103">
        <v>13</v>
      </c>
      <c r="FB8" s="101">
        <v>68447</v>
      </c>
      <c r="FC8" s="101">
        <v>5284</v>
      </c>
      <c r="FD8" s="101">
        <v>341</v>
      </c>
      <c r="FE8" s="39">
        <v>0.39319999999999999</v>
      </c>
    </row>
    <row r="9" spans="1:161" x14ac:dyDescent="0.25">
      <c r="A9" s="18" t="s">
        <v>173</v>
      </c>
      <c r="B9" s="9"/>
      <c r="C9" s="18"/>
      <c r="D9" s="18"/>
      <c r="E9" s="18"/>
      <c r="F9" s="39"/>
      <c r="G9" s="9"/>
      <c r="H9" s="18"/>
      <c r="I9" s="18"/>
      <c r="J9" s="18"/>
      <c r="K9" s="39"/>
      <c r="L9" s="103">
        <v>3</v>
      </c>
      <c r="M9" s="101">
        <v>0.22</v>
      </c>
      <c r="N9" s="18"/>
      <c r="O9" s="37"/>
      <c r="P9" s="18"/>
      <c r="Q9" s="9"/>
      <c r="R9" s="18"/>
      <c r="S9" s="18"/>
      <c r="T9" s="18"/>
      <c r="U9" s="39"/>
      <c r="V9" s="84">
        <v>1</v>
      </c>
      <c r="W9" s="85">
        <v>65.765020000000007</v>
      </c>
      <c r="X9" s="85">
        <v>53.278410000000001</v>
      </c>
      <c r="Y9" s="18"/>
      <c r="Z9" s="39">
        <v>1E-3</v>
      </c>
      <c r="AA9" s="9"/>
      <c r="AB9" s="85">
        <v>0.22</v>
      </c>
      <c r="AC9" s="18"/>
      <c r="AD9" s="18"/>
      <c r="AE9" s="39">
        <v>0</v>
      </c>
      <c r="AF9" s="103">
        <v>3</v>
      </c>
      <c r="AG9" s="101">
        <v>16</v>
      </c>
      <c r="AH9" s="101">
        <v>-3</v>
      </c>
      <c r="AI9" s="18"/>
      <c r="AJ9" s="39"/>
      <c r="AK9" s="9"/>
      <c r="AL9" s="18"/>
      <c r="AM9" s="18"/>
      <c r="AN9" s="18"/>
      <c r="AO9" s="39"/>
      <c r="AP9" s="84">
        <v>3</v>
      </c>
      <c r="AQ9" s="85">
        <v>59</v>
      </c>
      <c r="AR9" s="18"/>
      <c r="AS9" s="85">
        <v>71</v>
      </c>
      <c r="AT9" s="39">
        <v>8.0000000000000004E-4</v>
      </c>
      <c r="AU9" s="9"/>
      <c r="AV9" s="18"/>
      <c r="AW9" s="18"/>
      <c r="AX9" s="18"/>
      <c r="AY9" s="39"/>
      <c r="AZ9" s="9"/>
      <c r="BA9" s="18"/>
      <c r="BB9" s="18"/>
      <c r="BC9" s="18"/>
      <c r="BD9" s="39"/>
      <c r="BE9" s="84">
        <v>10</v>
      </c>
      <c r="BF9" s="85">
        <v>238</v>
      </c>
      <c r="BG9" s="85">
        <v>74</v>
      </c>
      <c r="BH9" s="85">
        <v>50</v>
      </c>
      <c r="BI9" s="39">
        <v>0</v>
      </c>
      <c r="BJ9" s="9"/>
      <c r="BK9" s="18"/>
      <c r="BL9" s="18"/>
      <c r="BM9" s="18"/>
      <c r="BN9" s="39"/>
      <c r="BO9" s="9"/>
      <c r="BP9" s="18"/>
      <c r="BQ9" s="18"/>
      <c r="BR9" s="18"/>
      <c r="BS9" s="39"/>
      <c r="BT9" s="84">
        <v>1</v>
      </c>
      <c r="BU9" s="18"/>
      <c r="BV9" s="18"/>
      <c r="BW9" s="18"/>
      <c r="BX9" s="39"/>
      <c r="BY9" s="84">
        <v>8</v>
      </c>
      <c r="BZ9" s="85">
        <v>-176</v>
      </c>
      <c r="CA9" s="18"/>
      <c r="CB9" s="18"/>
      <c r="CC9" s="39">
        <v>-3.2000000000000002E-3</v>
      </c>
      <c r="CD9" s="9"/>
      <c r="CE9" s="18"/>
      <c r="CF9" s="18"/>
      <c r="CG9" s="18"/>
      <c r="CH9" s="39"/>
      <c r="CI9" s="9"/>
      <c r="CJ9" s="18"/>
      <c r="CK9" s="18"/>
      <c r="CL9" s="18"/>
      <c r="CM9" s="39"/>
      <c r="CN9" s="9"/>
      <c r="CO9" s="99">
        <v>96329.147719999994</v>
      </c>
      <c r="CP9" s="100">
        <v>14164.160159999999</v>
      </c>
      <c r="CQ9" s="101">
        <v>34205.880360000003</v>
      </c>
      <c r="CR9" s="39">
        <v>0.75229999999999997</v>
      </c>
      <c r="CS9" s="84">
        <v>3</v>
      </c>
      <c r="CT9" s="18"/>
      <c r="CU9" s="85">
        <v>9</v>
      </c>
      <c r="CV9" s="18"/>
      <c r="CW9" s="39">
        <v>5.7999999999999996E-3</v>
      </c>
      <c r="CX9" s="9"/>
      <c r="CY9" s="18"/>
      <c r="CZ9" s="18"/>
      <c r="DA9" s="18"/>
      <c r="DB9" s="39"/>
      <c r="DC9" s="9">
        <v>11</v>
      </c>
      <c r="DD9" s="18">
        <v>26974</v>
      </c>
      <c r="DE9" s="18">
        <v>1821</v>
      </c>
      <c r="DF9" s="18">
        <v>572</v>
      </c>
      <c r="DG9" s="39">
        <v>6.9900000000000004E-2</v>
      </c>
      <c r="DH9" s="9"/>
      <c r="DI9" s="18"/>
      <c r="DJ9" s="18"/>
      <c r="DK9" s="18"/>
      <c r="DL9" s="40"/>
      <c r="DM9" s="9"/>
      <c r="DN9" s="18"/>
      <c r="DO9" s="18"/>
      <c r="DP9" s="18"/>
      <c r="DQ9" s="39"/>
      <c r="DR9" s="64">
        <v>3</v>
      </c>
      <c r="DS9" s="40">
        <v>322.95</v>
      </c>
      <c r="DT9" s="40">
        <v>-0.96</v>
      </c>
      <c r="DU9" s="40">
        <v>-1.2</v>
      </c>
      <c r="DV9" s="39">
        <v>8.0000000000000004E-4</v>
      </c>
      <c r="DW9" s="84">
        <v>11</v>
      </c>
      <c r="DX9" s="85">
        <v>3234.07</v>
      </c>
      <c r="DY9" s="85">
        <v>350.25</v>
      </c>
      <c r="DZ9" s="85">
        <v>63.88</v>
      </c>
      <c r="EA9" s="39">
        <v>0.8921</v>
      </c>
      <c r="EB9" s="84"/>
      <c r="EC9" s="85"/>
      <c r="ED9" s="85"/>
      <c r="EE9" s="85"/>
      <c r="EF9" s="39"/>
      <c r="EG9" s="84">
        <v>2</v>
      </c>
      <c r="EH9" s="101">
        <v>66172</v>
      </c>
      <c r="EI9" s="85">
        <v>2688</v>
      </c>
      <c r="EJ9" s="85">
        <v>5345</v>
      </c>
      <c r="EK9" s="39">
        <v>0.28160000000000002</v>
      </c>
      <c r="EL9" s="84"/>
      <c r="EM9" s="85"/>
      <c r="EN9" s="85"/>
      <c r="EO9" s="85"/>
      <c r="EP9" s="39"/>
      <c r="EQ9" s="18"/>
      <c r="ER9" s="85"/>
      <c r="ES9" s="85"/>
      <c r="ET9" s="85"/>
      <c r="EU9" s="39"/>
      <c r="EV9" s="9">
        <v>14</v>
      </c>
      <c r="EW9" s="103">
        <v>955</v>
      </c>
      <c r="EX9" s="103">
        <v>575</v>
      </c>
      <c r="EY9" s="103">
        <v>18800</v>
      </c>
      <c r="EZ9" s="39">
        <v>7.3099999999999998E-2</v>
      </c>
      <c r="FA9" s="103">
        <v>19</v>
      </c>
      <c r="FB9" s="101">
        <v>924</v>
      </c>
      <c r="FC9" s="101">
        <v>688</v>
      </c>
      <c r="FD9" s="101">
        <v>1254</v>
      </c>
      <c r="FE9" s="39">
        <v>1.52E-2</v>
      </c>
    </row>
    <row r="10" spans="1:161" ht="30" x14ac:dyDescent="0.25">
      <c r="A10" s="19" t="s">
        <v>174</v>
      </c>
      <c r="B10" s="9"/>
      <c r="C10" s="18"/>
      <c r="D10" s="18"/>
      <c r="E10" s="18"/>
      <c r="F10" s="39"/>
      <c r="G10" s="9"/>
      <c r="H10" s="18"/>
      <c r="I10" s="18"/>
      <c r="J10" s="18"/>
      <c r="K10" s="39"/>
      <c r="L10" s="9"/>
      <c r="M10" s="18"/>
      <c r="N10" s="18"/>
      <c r="O10" s="37"/>
      <c r="P10" s="18"/>
      <c r="Q10" s="9"/>
      <c r="R10" s="18"/>
      <c r="S10" s="18"/>
      <c r="T10" s="18"/>
      <c r="U10" s="39"/>
      <c r="V10" s="84">
        <v>14</v>
      </c>
      <c r="W10" s="18"/>
      <c r="X10" s="18"/>
      <c r="Y10" s="85">
        <v>682.37217999999996</v>
      </c>
      <c r="Z10" s="39">
        <v>5.4999999999999997E-3</v>
      </c>
      <c r="AA10" s="9"/>
      <c r="AB10" s="18"/>
      <c r="AC10" s="18"/>
      <c r="AD10" s="18"/>
      <c r="AE10" s="39"/>
      <c r="AF10" s="9"/>
      <c r="AG10" s="18"/>
      <c r="AH10" s="18"/>
      <c r="AI10" s="18"/>
      <c r="AJ10" s="39"/>
      <c r="AK10" s="9"/>
      <c r="AL10" s="18"/>
      <c r="AM10" s="18"/>
      <c r="AN10" s="18"/>
      <c r="AO10" s="39"/>
      <c r="AP10" s="9">
        <v>11</v>
      </c>
      <c r="AQ10" s="18">
        <v>8</v>
      </c>
      <c r="AR10" s="18"/>
      <c r="AS10" s="18">
        <v>646</v>
      </c>
      <c r="AT10" s="39">
        <v>4.1000000000000003E-3</v>
      </c>
      <c r="AU10" s="9"/>
      <c r="AV10" s="18"/>
      <c r="AW10" s="18"/>
      <c r="AX10" s="18"/>
      <c r="AY10" s="39"/>
      <c r="AZ10" s="9"/>
      <c r="BA10" s="18"/>
      <c r="BB10" s="18"/>
      <c r="BC10" s="18"/>
      <c r="BD10" s="39"/>
      <c r="BE10" s="84">
        <v>18</v>
      </c>
      <c r="BF10" s="85">
        <v>119</v>
      </c>
      <c r="BG10" s="85"/>
      <c r="BH10" s="85">
        <v>25769</v>
      </c>
      <c r="BI10" s="39">
        <v>7.0000000000000007E-2</v>
      </c>
      <c r="BJ10" s="9"/>
      <c r="BK10" s="18"/>
      <c r="BL10" s="18"/>
      <c r="BM10" s="18"/>
      <c r="BN10" s="39"/>
      <c r="BO10" s="9"/>
      <c r="BP10" s="18"/>
      <c r="BQ10" s="18"/>
      <c r="BR10" s="18"/>
      <c r="BS10" s="39"/>
      <c r="BT10" s="9"/>
      <c r="BU10" s="18"/>
      <c r="BV10" s="18"/>
      <c r="BW10" s="18"/>
      <c r="BX10" s="39"/>
      <c r="BY10" s="9"/>
      <c r="BZ10" s="18"/>
      <c r="CA10" s="18"/>
      <c r="CB10" s="18"/>
      <c r="CC10" s="39"/>
      <c r="CD10" s="9"/>
      <c r="CE10" s="18"/>
      <c r="CF10" s="18"/>
      <c r="CG10" s="18"/>
      <c r="CH10" s="39"/>
      <c r="CI10" s="9"/>
      <c r="CJ10" s="18"/>
      <c r="CK10" s="18"/>
      <c r="CL10" s="18"/>
      <c r="CM10" s="39"/>
      <c r="CN10" s="9"/>
      <c r="CO10" s="18"/>
      <c r="CP10" s="18"/>
      <c r="CQ10" s="18"/>
      <c r="CR10" s="39"/>
      <c r="CS10" s="9"/>
      <c r="CT10" s="18"/>
      <c r="CU10" s="18"/>
      <c r="CV10" s="18"/>
      <c r="CW10" s="18"/>
      <c r="CX10" s="9"/>
      <c r="CY10" s="18"/>
      <c r="CZ10" s="18"/>
      <c r="DA10" s="18"/>
      <c r="DB10" s="39"/>
      <c r="DC10" s="9"/>
      <c r="DD10" s="18"/>
      <c r="DE10" s="18"/>
      <c r="DF10" s="18"/>
      <c r="DG10" s="39"/>
      <c r="DH10" s="9"/>
      <c r="DI10" s="18"/>
      <c r="DJ10" s="18"/>
      <c r="DK10" s="18"/>
      <c r="DL10" s="40"/>
      <c r="DM10" s="9"/>
      <c r="DN10" s="18"/>
      <c r="DO10" s="18"/>
      <c r="DP10" s="18"/>
      <c r="DQ10" s="39"/>
      <c r="DR10" s="64"/>
      <c r="DS10" s="40"/>
      <c r="DT10" s="40"/>
      <c r="DU10" s="40"/>
      <c r="DV10" s="39"/>
      <c r="DW10" s="9"/>
      <c r="DX10" s="18"/>
      <c r="DY10" s="18"/>
      <c r="DZ10" s="18"/>
      <c r="EA10" s="18"/>
      <c r="EB10" s="9"/>
      <c r="EC10" s="18"/>
      <c r="ED10" s="18"/>
      <c r="EE10" s="18"/>
      <c r="EF10" s="39"/>
      <c r="EG10" s="84"/>
      <c r="EH10" s="85"/>
      <c r="EI10" s="85"/>
      <c r="EJ10" s="85"/>
      <c r="EK10" s="39"/>
      <c r="EL10" s="9"/>
      <c r="EM10" s="18"/>
      <c r="EN10" s="18"/>
      <c r="EO10" s="18"/>
      <c r="EP10" s="39"/>
      <c r="EQ10" s="18"/>
      <c r="ER10" s="101">
        <v>106443</v>
      </c>
      <c r="ES10" s="101">
        <v>16782</v>
      </c>
      <c r="ET10" s="101">
        <v>27134</v>
      </c>
      <c r="EU10" s="39">
        <v>0.70699999999999996</v>
      </c>
      <c r="EV10" s="9">
        <v>22</v>
      </c>
      <c r="EW10" s="103">
        <v>112359</v>
      </c>
      <c r="EX10" s="103">
        <v>29358</v>
      </c>
      <c r="EY10" s="103">
        <v>36985</v>
      </c>
      <c r="EZ10" s="39">
        <v>0.64249999999999996</v>
      </c>
      <c r="FA10" s="103">
        <v>10</v>
      </c>
      <c r="FB10" s="18"/>
      <c r="FC10" s="18"/>
      <c r="FD10" s="101">
        <v>23664</v>
      </c>
      <c r="FE10" s="39">
        <v>0.12559999999999999</v>
      </c>
    </row>
    <row r="11" spans="1:161" x14ac:dyDescent="0.25">
      <c r="A11" s="19" t="s">
        <v>32</v>
      </c>
      <c r="B11" s="9"/>
      <c r="C11" s="18"/>
      <c r="D11" s="18"/>
      <c r="E11" s="18"/>
      <c r="F11" s="39"/>
      <c r="G11" s="9"/>
      <c r="H11" s="18"/>
      <c r="I11" s="18"/>
      <c r="J11" s="18"/>
      <c r="K11" s="39"/>
      <c r="L11" s="9"/>
      <c r="M11" s="18"/>
      <c r="N11" s="18"/>
      <c r="O11" s="37"/>
      <c r="P11" s="18"/>
      <c r="Q11" s="9"/>
      <c r="R11" s="18"/>
      <c r="S11" s="18"/>
      <c r="T11" s="18"/>
      <c r="U11" s="39"/>
      <c r="V11" s="9"/>
      <c r="W11" s="18"/>
      <c r="X11" s="18"/>
      <c r="Y11" s="18"/>
      <c r="Z11" s="39"/>
      <c r="AA11" s="9"/>
      <c r="AB11" s="18"/>
      <c r="AC11" s="18"/>
      <c r="AD11" s="18"/>
      <c r="AE11" s="39"/>
      <c r="AF11" s="9"/>
      <c r="AG11" s="18"/>
      <c r="AH11" s="18"/>
      <c r="AI11" s="18"/>
      <c r="AJ11" s="39"/>
      <c r="AK11" s="9"/>
      <c r="AL11" s="18"/>
      <c r="AM11" s="18"/>
      <c r="AN11" s="18"/>
      <c r="AO11" s="39"/>
      <c r="AP11" s="9">
        <v>9</v>
      </c>
      <c r="AQ11" s="85">
        <v>111346</v>
      </c>
      <c r="AR11" s="85">
        <v>9017</v>
      </c>
      <c r="AS11" s="85">
        <v>845</v>
      </c>
      <c r="AT11" s="39">
        <v>0.75209999999999999</v>
      </c>
      <c r="AU11" s="9"/>
      <c r="AV11" s="18"/>
      <c r="AW11" s="18"/>
      <c r="AX11" s="18"/>
      <c r="AY11" s="39"/>
      <c r="AZ11" s="9"/>
      <c r="BA11" s="18"/>
      <c r="BB11" s="18"/>
      <c r="BC11" s="18"/>
      <c r="BD11" s="39"/>
      <c r="BE11" s="9"/>
      <c r="BF11" s="18"/>
      <c r="BG11" s="18"/>
      <c r="BH11" s="18"/>
      <c r="BI11" s="39"/>
      <c r="BJ11" s="9"/>
      <c r="BK11" s="18"/>
      <c r="BL11" s="18"/>
      <c r="BM11" s="18"/>
      <c r="BN11" s="39"/>
      <c r="BO11" s="9"/>
      <c r="BP11" s="18"/>
      <c r="BQ11" s="18"/>
      <c r="BR11" s="18"/>
      <c r="BS11" s="39"/>
      <c r="BT11" s="9"/>
      <c r="BU11" s="18"/>
      <c r="BV11" s="18"/>
      <c r="BW11" s="18"/>
      <c r="BX11" s="39"/>
      <c r="BY11" s="9"/>
      <c r="BZ11" s="18"/>
      <c r="CA11" s="18"/>
      <c r="CB11" s="18"/>
      <c r="CC11" s="39"/>
      <c r="CD11" s="9"/>
      <c r="CE11" s="18"/>
      <c r="CF11" s="18"/>
      <c r="CG11" s="18"/>
      <c r="CH11" s="39"/>
      <c r="CI11" s="9"/>
      <c r="CJ11" s="18"/>
      <c r="CK11" s="18"/>
      <c r="CL11" s="18"/>
      <c r="CM11" s="39"/>
      <c r="CN11" s="9"/>
      <c r="CO11" s="18"/>
      <c r="CP11" s="18"/>
      <c r="CQ11" s="18"/>
      <c r="CR11" s="39"/>
      <c r="CS11" s="9"/>
      <c r="CT11" s="18"/>
      <c r="CU11" s="18"/>
      <c r="CV11" s="18"/>
      <c r="CW11" s="18"/>
      <c r="CX11" s="9"/>
      <c r="CY11" s="18"/>
      <c r="CZ11" s="18"/>
      <c r="DA11" s="18"/>
      <c r="DB11" s="39"/>
      <c r="DC11" s="9"/>
      <c r="DD11" s="18"/>
      <c r="DE11" s="18"/>
      <c r="DF11" s="18"/>
      <c r="DG11" s="39"/>
      <c r="DH11" s="9"/>
      <c r="DI11" s="18"/>
      <c r="DJ11" s="18"/>
      <c r="DK11" s="18"/>
      <c r="DL11" s="40"/>
      <c r="DM11" s="9"/>
      <c r="DN11" s="18"/>
      <c r="DO11" s="18"/>
      <c r="DP11" s="18"/>
      <c r="DQ11" s="39"/>
      <c r="DR11" s="64"/>
      <c r="DS11" s="40"/>
      <c r="DT11" s="40"/>
      <c r="DU11" s="40"/>
      <c r="DV11" s="39"/>
      <c r="DW11" s="9"/>
      <c r="DX11" s="18"/>
      <c r="DY11" s="18"/>
      <c r="DZ11" s="18"/>
      <c r="EA11" s="18"/>
      <c r="EB11" s="9"/>
      <c r="EC11" s="18"/>
      <c r="ED11" s="18"/>
      <c r="EE11" s="18"/>
      <c r="EF11" s="39"/>
      <c r="EG11" s="84">
        <v>1</v>
      </c>
      <c r="EH11" s="85">
        <v>82</v>
      </c>
      <c r="EI11" s="85"/>
      <c r="EJ11" s="85">
        <v>3</v>
      </c>
      <c r="EK11" s="39">
        <v>2.9999999999999997E-4</v>
      </c>
      <c r="EL11" s="9"/>
      <c r="EM11" s="18"/>
      <c r="EN11" s="18"/>
      <c r="EO11" s="18"/>
      <c r="EP11" s="39"/>
      <c r="EQ11" s="18"/>
      <c r="ER11" s="101">
        <v>5557</v>
      </c>
      <c r="ES11" s="18">
        <v>32</v>
      </c>
      <c r="ET11" s="18">
        <v>22</v>
      </c>
      <c r="EU11" s="39">
        <v>2.64E-2</v>
      </c>
      <c r="EV11" s="9"/>
      <c r="EW11" s="18"/>
      <c r="EX11" s="18"/>
      <c r="EY11" s="18"/>
      <c r="EZ11" s="39"/>
      <c r="FA11" s="9"/>
      <c r="FB11" s="18"/>
      <c r="FC11" s="18"/>
      <c r="FD11" s="18"/>
      <c r="FE11" s="39"/>
    </row>
    <row r="12" spans="1:161" x14ac:dyDescent="0.25">
      <c r="A12" s="19" t="s">
        <v>175</v>
      </c>
      <c r="B12" s="9"/>
      <c r="C12" s="18"/>
      <c r="D12" s="18"/>
      <c r="E12" s="18"/>
      <c r="F12" s="39"/>
      <c r="G12" s="9"/>
      <c r="H12" s="18"/>
      <c r="I12" s="18"/>
      <c r="J12" s="18"/>
      <c r="K12" s="39"/>
      <c r="L12" s="9"/>
      <c r="M12" s="18"/>
      <c r="N12" s="18"/>
      <c r="O12" s="37"/>
      <c r="P12" s="18"/>
      <c r="Q12" s="9"/>
      <c r="R12" s="18"/>
      <c r="S12" s="18"/>
      <c r="T12" s="18"/>
      <c r="U12" s="39"/>
      <c r="V12" s="9"/>
      <c r="W12" s="18"/>
      <c r="X12" s="18"/>
      <c r="Y12" s="18"/>
      <c r="Z12" s="39"/>
      <c r="AA12" s="9"/>
      <c r="AB12" s="18"/>
      <c r="AC12" s="18"/>
      <c r="AD12" s="18"/>
      <c r="AE12" s="39"/>
      <c r="AF12" s="9"/>
      <c r="AG12" s="18"/>
      <c r="AH12" s="18"/>
      <c r="AI12" s="18"/>
      <c r="AJ12" s="39"/>
      <c r="AK12" s="9"/>
      <c r="AL12" s="18"/>
      <c r="AM12" s="18"/>
      <c r="AN12" s="18"/>
      <c r="AO12" s="39"/>
      <c r="AP12" s="9"/>
      <c r="AQ12" s="85"/>
      <c r="AR12" s="85"/>
      <c r="AS12" s="85"/>
      <c r="AT12" s="39"/>
      <c r="AU12" s="9"/>
      <c r="AV12" s="18"/>
      <c r="AW12" s="18"/>
      <c r="AX12" s="18"/>
      <c r="AY12" s="39"/>
      <c r="AZ12" s="9"/>
      <c r="BA12" s="18"/>
      <c r="BB12" s="18"/>
      <c r="BC12" s="18"/>
      <c r="BD12" s="39"/>
      <c r="BE12" s="9"/>
      <c r="BF12" s="18"/>
      <c r="BG12" s="18"/>
      <c r="BH12" s="18"/>
      <c r="BI12" s="39"/>
      <c r="BJ12" s="9"/>
      <c r="BK12" s="18"/>
      <c r="BL12" s="18"/>
      <c r="BM12" s="18"/>
      <c r="BN12" s="39"/>
      <c r="BO12" s="9"/>
      <c r="BP12" s="18"/>
      <c r="BQ12" s="18"/>
      <c r="BR12" s="18"/>
      <c r="BS12" s="39"/>
      <c r="BT12" s="9"/>
      <c r="BU12" s="18"/>
      <c r="BV12" s="18"/>
      <c r="BW12" s="18"/>
      <c r="BX12" s="39"/>
      <c r="BY12" s="9"/>
      <c r="BZ12" s="18"/>
      <c r="CA12" s="18"/>
      <c r="CB12" s="18"/>
      <c r="CC12" s="39"/>
      <c r="CD12" s="9"/>
      <c r="CE12" s="18"/>
      <c r="CF12" s="18"/>
      <c r="CG12" s="18"/>
      <c r="CH12" s="39"/>
      <c r="CI12" s="9"/>
      <c r="CJ12" s="18"/>
      <c r="CK12" s="18"/>
      <c r="CL12" s="18"/>
      <c r="CM12" s="39"/>
      <c r="CN12" s="9"/>
      <c r="CO12" s="18"/>
      <c r="CP12" s="18"/>
      <c r="CQ12" s="18"/>
      <c r="CR12" s="39"/>
      <c r="CS12" s="9"/>
      <c r="CT12" s="18"/>
      <c r="CU12" s="18"/>
      <c r="CV12" s="18"/>
      <c r="CW12" s="18"/>
      <c r="CX12" s="9"/>
      <c r="CY12" s="18"/>
      <c r="CZ12" s="18"/>
      <c r="DA12" s="18"/>
      <c r="DB12" s="39"/>
      <c r="DC12" s="9"/>
      <c r="DD12" s="18"/>
      <c r="DE12" s="18"/>
      <c r="DF12" s="18"/>
      <c r="DG12" s="39"/>
      <c r="DH12" s="9"/>
      <c r="DI12" s="18"/>
      <c r="DJ12" s="18"/>
      <c r="DK12" s="18"/>
      <c r="DL12" s="40"/>
      <c r="DM12" s="9"/>
      <c r="DN12" s="18"/>
      <c r="DO12" s="18"/>
      <c r="DP12" s="18"/>
      <c r="DQ12" s="39"/>
      <c r="DR12" s="64"/>
      <c r="DS12" s="40"/>
      <c r="DT12" s="40"/>
      <c r="DU12" s="40"/>
      <c r="DV12" s="39"/>
      <c r="DW12" s="9"/>
      <c r="DX12" s="18"/>
      <c r="DY12" s="18"/>
      <c r="DZ12" s="18"/>
      <c r="EA12" s="18"/>
      <c r="EB12" s="9"/>
      <c r="EC12" s="18"/>
      <c r="ED12" s="18"/>
      <c r="EE12" s="18"/>
      <c r="EF12" s="39"/>
      <c r="EG12" s="84"/>
      <c r="EH12" s="85"/>
      <c r="EI12" s="85"/>
      <c r="EJ12" s="85"/>
      <c r="EK12" s="39"/>
      <c r="EL12" s="9"/>
      <c r="EM12" s="18"/>
      <c r="EN12" s="18"/>
      <c r="EO12" s="18"/>
      <c r="EP12" s="39"/>
      <c r="EQ12" s="18"/>
      <c r="ER12" s="18"/>
      <c r="ES12" s="18"/>
      <c r="ET12" s="18"/>
      <c r="EU12" s="39"/>
      <c r="EV12" s="9"/>
      <c r="EW12" s="18"/>
      <c r="EX12" s="18"/>
      <c r="EY12" s="18"/>
      <c r="EZ12" s="39"/>
      <c r="FA12" s="9"/>
      <c r="FB12" s="18"/>
      <c r="FC12" s="18"/>
      <c r="FD12" s="18"/>
      <c r="FE12" s="39"/>
    </row>
    <row r="13" spans="1:161" x14ac:dyDescent="0.25">
      <c r="A13" s="18" t="s">
        <v>176</v>
      </c>
      <c r="B13" s="9"/>
      <c r="C13" s="18"/>
      <c r="D13" s="18"/>
      <c r="E13" s="18"/>
      <c r="F13" s="39"/>
      <c r="G13" s="9"/>
      <c r="H13" s="18"/>
      <c r="I13" s="18"/>
      <c r="J13" s="18"/>
      <c r="K13" s="39"/>
      <c r="L13" s="9"/>
      <c r="M13" s="18"/>
      <c r="N13" s="18"/>
      <c r="O13" s="37"/>
      <c r="P13" s="18"/>
      <c r="Q13" s="9"/>
      <c r="R13" s="18"/>
      <c r="S13" s="18"/>
      <c r="T13" s="18"/>
      <c r="U13" s="39"/>
      <c r="V13" s="9"/>
      <c r="W13" s="18"/>
      <c r="X13" s="18"/>
      <c r="Y13" s="18"/>
      <c r="Z13" s="39"/>
      <c r="AA13" s="9"/>
      <c r="AB13" s="18"/>
      <c r="AC13" s="18"/>
      <c r="AD13" s="18"/>
      <c r="AE13" s="39"/>
      <c r="AF13" s="9"/>
      <c r="AG13" s="18"/>
      <c r="AH13" s="18"/>
      <c r="AI13" s="18"/>
      <c r="AJ13" s="39"/>
      <c r="AK13" s="9"/>
      <c r="AL13" s="18"/>
      <c r="AM13" s="18"/>
      <c r="AN13" s="18"/>
      <c r="AO13" s="39"/>
      <c r="AP13" s="9"/>
      <c r="AQ13" s="18"/>
      <c r="AR13" s="18"/>
      <c r="AS13" s="18"/>
      <c r="AT13" s="39"/>
      <c r="AU13" s="9"/>
      <c r="AV13" s="18"/>
      <c r="AW13" s="18"/>
      <c r="AX13" s="18"/>
      <c r="AY13" s="39"/>
      <c r="AZ13" s="9">
        <v>16</v>
      </c>
      <c r="BA13" s="18"/>
      <c r="BB13" s="18"/>
      <c r="BC13" s="85">
        <v>4755</v>
      </c>
      <c r="BD13" s="39">
        <v>8.0000000000000002E-3</v>
      </c>
      <c r="BE13" s="9"/>
      <c r="BF13" s="18"/>
      <c r="BG13" s="18"/>
      <c r="BH13" s="18"/>
      <c r="BI13" s="39"/>
      <c r="BJ13" s="9">
        <v>15</v>
      </c>
      <c r="BK13" s="18">
        <v>41</v>
      </c>
      <c r="BL13" s="18">
        <v>4</v>
      </c>
      <c r="BM13" s="18">
        <v>9981</v>
      </c>
      <c r="BN13" s="39">
        <v>0.03</v>
      </c>
      <c r="BO13" s="9">
        <v>6</v>
      </c>
      <c r="BP13" s="18"/>
      <c r="BQ13" s="18"/>
      <c r="BR13" s="18">
        <v>101</v>
      </c>
      <c r="BS13" s="39">
        <v>1.4E-2</v>
      </c>
      <c r="BT13" s="9"/>
      <c r="BU13" s="18"/>
      <c r="BV13" s="18"/>
      <c r="BW13" s="18"/>
      <c r="BX13" s="39"/>
      <c r="BY13" s="9">
        <v>1</v>
      </c>
      <c r="BZ13" s="18"/>
      <c r="CA13" s="18"/>
      <c r="CB13" s="18">
        <v>11</v>
      </c>
      <c r="CC13" s="39">
        <v>2.0000000000000001E-4</v>
      </c>
      <c r="CD13" s="9"/>
      <c r="CE13" s="18"/>
      <c r="CF13" s="18"/>
      <c r="CG13" s="18"/>
      <c r="CH13" s="39"/>
      <c r="CI13" s="9"/>
      <c r="CJ13" s="18"/>
      <c r="CK13" s="18"/>
      <c r="CL13" s="18"/>
      <c r="CM13" s="39"/>
      <c r="CN13" s="9"/>
      <c r="CO13" s="18"/>
      <c r="CP13" s="18"/>
      <c r="CQ13" s="18"/>
      <c r="CR13" s="39"/>
      <c r="CS13" s="9"/>
      <c r="CT13" s="18"/>
      <c r="CU13" s="18"/>
      <c r="CV13" s="18"/>
      <c r="CW13" s="18"/>
      <c r="CX13" s="9"/>
      <c r="CY13" s="18"/>
      <c r="CZ13" s="18"/>
      <c r="DA13" s="18"/>
      <c r="DB13" s="39"/>
      <c r="DC13" s="9">
        <v>28</v>
      </c>
      <c r="DD13" s="18">
        <v>35321</v>
      </c>
      <c r="DE13" s="18">
        <v>1324</v>
      </c>
      <c r="DF13" s="18">
        <v>13751</v>
      </c>
      <c r="DG13" s="39">
        <v>0.12</v>
      </c>
      <c r="DH13" s="9"/>
      <c r="DI13" s="18"/>
      <c r="DJ13" s="18"/>
      <c r="DK13" s="18"/>
      <c r="DL13" s="40"/>
      <c r="DM13" s="9"/>
      <c r="DN13" s="18"/>
      <c r="DO13" s="18"/>
      <c r="DP13" s="18"/>
      <c r="DQ13" s="39"/>
      <c r="DR13" s="64">
        <v>19</v>
      </c>
      <c r="DS13" s="40"/>
      <c r="DT13" s="40"/>
      <c r="DU13" s="40">
        <v>61867.14</v>
      </c>
      <c r="DV13" s="39">
        <v>0.1472</v>
      </c>
      <c r="DW13" s="9"/>
      <c r="DX13" s="18"/>
      <c r="DY13" s="18"/>
      <c r="DZ13" s="18"/>
      <c r="EA13" s="18"/>
      <c r="EB13" s="9"/>
      <c r="EC13" s="18"/>
      <c r="ED13" s="18"/>
      <c r="EE13" s="18"/>
      <c r="EF13" s="39"/>
      <c r="EG13" s="84">
        <v>13</v>
      </c>
      <c r="EH13" s="85">
        <v>583</v>
      </c>
      <c r="EI13" s="85">
        <v>-5</v>
      </c>
      <c r="EJ13" s="85">
        <v>2513</v>
      </c>
      <c r="EK13" s="39">
        <v>1.17E-2</v>
      </c>
      <c r="EL13" s="9"/>
      <c r="EM13" s="18"/>
      <c r="EN13" s="18"/>
      <c r="EO13" s="18"/>
      <c r="EP13" s="39"/>
      <c r="EQ13" s="18"/>
      <c r="ER13" s="18"/>
      <c r="ES13" s="18"/>
      <c r="ET13" s="18"/>
      <c r="EU13" s="39"/>
      <c r="EV13" s="9"/>
      <c r="EW13" s="18"/>
      <c r="EX13" s="18"/>
      <c r="EY13" s="18"/>
      <c r="EZ13" s="39"/>
      <c r="FA13" s="9"/>
      <c r="FB13" s="18"/>
      <c r="FC13" s="18"/>
      <c r="FD13" s="18"/>
      <c r="FE13" s="39"/>
    </row>
    <row r="14" spans="1:161" x14ac:dyDescent="0.25">
      <c r="A14" s="18" t="s">
        <v>177</v>
      </c>
      <c r="B14" s="9"/>
      <c r="C14" s="18"/>
      <c r="D14" s="18"/>
      <c r="E14" s="18"/>
      <c r="F14" s="39"/>
      <c r="G14" s="9"/>
      <c r="H14" s="18"/>
      <c r="I14" s="18"/>
      <c r="J14" s="18"/>
      <c r="K14" s="39"/>
      <c r="L14" s="9"/>
      <c r="M14" s="18"/>
      <c r="N14" s="18"/>
      <c r="O14" s="37"/>
      <c r="P14" s="18"/>
      <c r="Q14" s="9"/>
      <c r="R14" s="18"/>
      <c r="S14" s="18"/>
      <c r="T14" s="18"/>
      <c r="U14" s="39"/>
      <c r="V14" s="9"/>
      <c r="W14" s="18"/>
      <c r="X14" s="18"/>
      <c r="Y14" s="18"/>
      <c r="Z14" s="39"/>
      <c r="AA14" s="9"/>
      <c r="AB14" s="18"/>
      <c r="AC14" s="18"/>
      <c r="AD14" s="18"/>
      <c r="AE14" s="39"/>
      <c r="AF14" s="9"/>
      <c r="AG14" s="18"/>
      <c r="AH14" s="18"/>
      <c r="AI14" s="18"/>
      <c r="AJ14" s="39"/>
      <c r="AK14" s="9"/>
      <c r="AL14" s="18"/>
      <c r="AM14" s="18"/>
      <c r="AN14" s="18"/>
      <c r="AO14" s="39"/>
      <c r="AP14" s="9"/>
      <c r="AQ14" s="18"/>
      <c r="AR14" s="18"/>
      <c r="AS14" s="18"/>
      <c r="AT14" s="39"/>
      <c r="AU14" s="9"/>
      <c r="AV14" s="18"/>
      <c r="AW14" s="18"/>
      <c r="AX14" s="18"/>
      <c r="AY14" s="39"/>
      <c r="AZ14" s="9"/>
      <c r="BA14" s="18"/>
      <c r="BB14" s="18"/>
      <c r="BC14" s="18"/>
      <c r="BD14" s="39"/>
      <c r="BE14" s="9"/>
      <c r="BF14" s="18"/>
      <c r="BG14" s="18"/>
      <c r="BH14" s="18"/>
      <c r="BI14" s="39"/>
      <c r="BJ14" s="9"/>
      <c r="BK14" s="18"/>
      <c r="BL14" s="18"/>
      <c r="BM14" s="18"/>
      <c r="BN14" s="39"/>
      <c r="BO14" s="9"/>
      <c r="BP14" s="18"/>
      <c r="BQ14" s="18"/>
      <c r="BR14" s="18"/>
      <c r="BS14" s="39"/>
      <c r="BT14" s="9"/>
      <c r="BU14" s="18"/>
      <c r="BV14" s="18"/>
      <c r="BW14" s="18"/>
      <c r="BX14" s="39"/>
      <c r="BY14" s="9"/>
      <c r="BZ14" s="18"/>
      <c r="CA14" s="18"/>
      <c r="CB14" s="18"/>
      <c r="CC14" s="39"/>
      <c r="CD14" s="9"/>
      <c r="CE14" s="18"/>
      <c r="CF14" s="18"/>
      <c r="CG14" s="18"/>
      <c r="CH14" s="39"/>
      <c r="CI14" s="9"/>
      <c r="CJ14" s="18"/>
      <c r="CK14" s="18"/>
      <c r="CL14" s="18"/>
      <c r="CM14" s="39"/>
      <c r="CN14" s="9"/>
      <c r="CO14" s="18"/>
      <c r="CP14" s="18"/>
      <c r="CQ14" s="18"/>
      <c r="CR14" s="39"/>
      <c r="CS14" s="9"/>
      <c r="CT14" s="18"/>
      <c r="CU14" s="18"/>
      <c r="CV14" s="18"/>
      <c r="CW14" s="18"/>
      <c r="CX14" s="9"/>
      <c r="CY14" s="18"/>
      <c r="CZ14" s="18"/>
      <c r="DA14" s="18"/>
      <c r="DB14" s="39"/>
      <c r="DC14" s="9"/>
      <c r="DD14" s="18"/>
      <c r="DE14" s="18"/>
      <c r="DF14" s="18"/>
      <c r="DG14" s="39"/>
      <c r="DH14" s="9"/>
      <c r="DI14" s="18"/>
      <c r="DJ14" s="18"/>
      <c r="DK14" s="18"/>
      <c r="DL14" s="40"/>
      <c r="DM14" s="9"/>
      <c r="DN14" s="18"/>
      <c r="DO14" s="18"/>
      <c r="DP14" s="18"/>
      <c r="DQ14" s="39"/>
      <c r="DR14" s="64"/>
      <c r="DS14" s="40"/>
      <c r="DT14" s="40"/>
      <c r="DU14" s="40"/>
      <c r="DV14" s="39"/>
      <c r="DW14" s="9"/>
      <c r="DX14" s="18"/>
      <c r="DY14" s="18"/>
      <c r="DZ14" s="18"/>
      <c r="EA14" s="18"/>
      <c r="EB14" s="9"/>
      <c r="EC14" s="18"/>
      <c r="ED14" s="18"/>
      <c r="EE14" s="18"/>
      <c r="EF14" s="39"/>
      <c r="EG14" s="9"/>
      <c r="EH14" s="18"/>
      <c r="EI14" s="18"/>
      <c r="EJ14" s="18"/>
      <c r="EK14" s="39"/>
      <c r="EL14" s="9"/>
      <c r="EM14" s="18"/>
      <c r="EN14" s="18"/>
      <c r="EO14" s="18"/>
      <c r="EP14" s="39"/>
      <c r="EQ14" s="18"/>
      <c r="ER14" s="101">
        <v>1061</v>
      </c>
      <c r="ES14" s="18">
        <v>112</v>
      </c>
      <c r="ET14" s="18"/>
      <c r="EU14" s="39">
        <v>5.4999999999999997E-3</v>
      </c>
      <c r="EV14" s="9"/>
      <c r="EW14" s="18"/>
      <c r="EX14" s="18"/>
      <c r="EY14" s="18"/>
      <c r="EZ14" s="39"/>
      <c r="FA14" s="9"/>
      <c r="FB14" s="18"/>
      <c r="FC14" s="18"/>
      <c r="FD14" s="18"/>
      <c r="FE14" s="39"/>
    </row>
    <row r="15" spans="1:161" s="44" customFormat="1" x14ac:dyDescent="0.25">
      <c r="A15" s="20" t="s">
        <v>150</v>
      </c>
      <c r="B15" s="34">
        <f t="shared" ref="B15:U15" si="0">SUM(B5:B14)</f>
        <v>5</v>
      </c>
      <c r="C15" s="20">
        <f t="shared" si="0"/>
        <v>6156</v>
      </c>
      <c r="D15" s="20">
        <f t="shared" si="0"/>
        <v>98.97</v>
      </c>
      <c r="E15" s="20">
        <f t="shared" si="0"/>
        <v>3.1399999999999997</v>
      </c>
      <c r="F15" s="41">
        <f t="shared" si="0"/>
        <v>1</v>
      </c>
      <c r="G15" s="34">
        <f t="shared" si="0"/>
        <v>5</v>
      </c>
      <c r="H15" s="20">
        <f t="shared" si="0"/>
        <v>9291.6</v>
      </c>
      <c r="I15" s="20">
        <f t="shared" si="0"/>
        <v>22.32</v>
      </c>
      <c r="J15" s="20">
        <f t="shared" si="0"/>
        <v>0</v>
      </c>
      <c r="K15" s="41">
        <f t="shared" si="0"/>
        <v>1</v>
      </c>
      <c r="L15" s="34">
        <f t="shared" si="0"/>
        <v>66</v>
      </c>
      <c r="M15" s="20">
        <f t="shared" si="0"/>
        <v>511317.3</v>
      </c>
      <c r="N15" s="20">
        <f t="shared" si="0"/>
        <v>27380.33</v>
      </c>
      <c r="O15" s="89">
        <f t="shared" si="0"/>
        <v>31198.19</v>
      </c>
      <c r="P15" s="41">
        <f t="shared" si="0"/>
        <v>1</v>
      </c>
      <c r="Q15" s="34">
        <f t="shared" si="0"/>
        <v>217</v>
      </c>
      <c r="R15" s="20">
        <f t="shared" si="0"/>
        <v>405721.38</v>
      </c>
      <c r="S15" s="20">
        <f t="shared" si="0"/>
        <v>18118.96</v>
      </c>
      <c r="T15" s="20">
        <f t="shared" si="0"/>
        <v>96872.06</v>
      </c>
      <c r="U15" s="41">
        <f t="shared" si="0"/>
        <v>0.9998999999999999</v>
      </c>
      <c r="V15" s="34">
        <f>SUM(V5:V14)</f>
        <v>132</v>
      </c>
      <c r="W15" s="20">
        <f t="shared" ref="W15:CC15" si="1">SUM(W5:W14)</f>
        <v>110651.14457000002</v>
      </c>
      <c r="X15" s="20">
        <f t="shared" si="1"/>
        <v>10848.41128</v>
      </c>
      <c r="Y15" s="20">
        <f t="shared" si="1"/>
        <v>2334.5495000000001</v>
      </c>
      <c r="Z15" s="41">
        <v>1</v>
      </c>
      <c r="AA15" s="34">
        <f t="shared" si="1"/>
        <v>0</v>
      </c>
      <c r="AB15" s="20">
        <f t="shared" si="1"/>
        <v>4293.6499999999996</v>
      </c>
      <c r="AC15" s="20">
        <f t="shared" si="1"/>
        <v>-251.83</v>
      </c>
      <c r="AD15" s="20">
        <f t="shared" si="1"/>
        <v>1208.46</v>
      </c>
      <c r="AE15" s="41">
        <v>1</v>
      </c>
      <c r="AF15" s="34">
        <f t="shared" si="1"/>
        <v>11</v>
      </c>
      <c r="AG15" s="20">
        <f t="shared" si="1"/>
        <v>18349</v>
      </c>
      <c r="AH15" s="20">
        <f t="shared" si="1"/>
        <v>1646</v>
      </c>
      <c r="AI15" s="20">
        <f t="shared" si="1"/>
        <v>0</v>
      </c>
      <c r="AJ15" s="41">
        <f t="shared" si="1"/>
        <v>1</v>
      </c>
      <c r="AK15" s="34">
        <f t="shared" si="1"/>
        <v>19</v>
      </c>
      <c r="AL15" s="20">
        <f t="shared" si="1"/>
        <v>3742</v>
      </c>
      <c r="AM15" s="20">
        <f t="shared" si="1"/>
        <v>363.8</v>
      </c>
      <c r="AN15" s="20">
        <f t="shared" si="1"/>
        <v>15.43</v>
      </c>
      <c r="AO15" s="41">
        <f t="shared" si="1"/>
        <v>1</v>
      </c>
      <c r="AP15" s="34">
        <f t="shared" si="1"/>
        <v>105</v>
      </c>
      <c r="AQ15" s="20">
        <f t="shared" si="1"/>
        <v>141934</v>
      </c>
      <c r="AR15" s="20">
        <f t="shared" si="1"/>
        <v>12466</v>
      </c>
      <c r="AS15" s="20">
        <f t="shared" si="1"/>
        <v>6761</v>
      </c>
      <c r="AT15" s="41">
        <f t="shared" si="1"/>
        <v>1</v>
      </c>
      <c r="AU15" s="34">
        <f t="shared" si="1"/>
        <v>78</v>
      </c>
      <c r="AV15" s="20">
        <f t="shared" si="1"/>
        <v>55205</v>
      </c>
      <c r="AW15" s="20">
        <f t="shared" si="1"/>
        <v>909</v>
      </c>
      <c r="AX15" s="20">
        <f t="shared" si="1"/>
        <v>4995</v>
      </c>
      <c r="AY15" s="41">
        <f t="shared" si="1"/>
        <v>1</v>
      </c>
      <c r="AZ15" s="34">
        <f t="shared" si="1"/>
        <v>183</v>
      </c>
      <c r="BA15" s="20">
        <f t="shared" si="1"/>
        <v>555026</v>
      </c>
      <c r="BB15" s="20">
        <f t="shared" si="1"/>
        <v>16835</v>
      </c>
      <c r="BC15" s="20">
        <f t="shared" si="1"/>
        <v>22104</v>
      </c>
      <c r="BD15" s="41">
        <f t="shared" si="1"/>
        <v>1</v>
      </c>
      <c r="BE15" s="34">
        <f t="shared" si="1"/>
        <v>249</v>
      </c>
      <c r="BF15" s="20">
        <f t="shared" si="1"/>
        <v>266111</v>
      </c>
      <c r="BG15" s="20">
        <f t="shared" si="1"/>
        <v>21538</v>
      </c>
      <c r="BH15" s="20">
        <f t="shared" si="1"/>
        <v>75878</v>
      </c>
      <c r="BI15" s="41">
        <f t="shared" si="1"/>
        <v>0.99</v>
      </c>
      <c r="BJ15" s="34">
        <f t="shared" si="1"/>
        <v>203</v>
      </c>
      <c r="BK15" s="20">
        <f t="shared" si="1"/>
        <v>270547</v>
      </c>
      <c r="BL15" s="20">
        <f t="shared" si="1"/>
        <v>14608</v>
      </c>
      <c r="BM15" s="20">
        <f t="shared" si="1"/>
        <v>38597</v>
      </c>
      <c r="BN15" s="41">
        <f t="shared" si="1"/>
        <v>1</v>
      </c>
      <c r="BO15" s="34">
        <f t="shared" si="1"/>
        <v>11</v>
      </c>
      <c r="BP15" s="20">
        <f t="shared" si="1"/>
        <v>6392</v>
      </c>
      <c r="BQ15" s="20">
        <f t="shared" si="1"/>
        <v>567</v>
      </c>
      <c r="BR15" s="20">
        <f t="shared" si="1"/>
        <v>101</v>
      </c>
      <c r="BS15" s="41">
        <f t="shared" si="1"/>
        <v>1</v>
      </c>
      <c r="BT15" s="34">
        <f t="shared" si="1"/>
        <v>23</v>
      </c>
      <c r="BU15" s="20">
        <f t="shared" si="1"/>
        <v>19427</v>
      </c>
      <c r="BV15" s="20">
        <f t="shared" si="1"/>
        <v>3491</v>
      </c>
      <c r="BW15" s="20">
        <f t="shared" si="1"/>
        <v>89</v>
      </c>
      <c r="BX15" s="41">
        <f t="shared" si="1"/>
        <v>1</v>
      </c>
      <c r="BY15" s="34">
        <f t="shared" si="1"/>
        <v>52</v>
      </c>
      <c r="BZ15" s="20">
        <f t="shared" si="1"/>
        <v>52315</v>
      </c>
      <c r="CA15" s="20">
        <f t="shared" si="1"/>
        <v>799</v>
      </c>
      <c r="CB15" s="20">
        <f t="shared" si="1"/>
        <v>1965</v>
      </c>
      <c r="CC15" s="41">
        <f t="shared" si="1"/>
        <v>1.0000000000000002</v>
      </c>
      <c r="CD15" s="34">
        <f t="shared" ref="CD15:ET15" si="2">SUM(CD5:CD14)</f>
        <v>2</v>
      </c>
      <c r="CE15" s="20">
        <f t="shared" si="2"/>
        <v>1153.32</v>
      </c>
      <c r="CF15" s="20">
        <f t="shared" si="2"/>
        <v>32.410000000000004</v>
      </c>
      <c r="CG15" s="20">
        <f t="shared" si="2"/>
        <v>0</v>
      </c>
      <c r="CH15" s="41">
        <f t="shared" si="2"/>
        <v>1</v>
      </c>
      <c r="CI15" s="34">
        <f t="shared" si="2"/>
        <v>4</v>
      </c>
      <c r="CJ15" s="20">
        <f t="shared" si="2"/>
        <v>40133</v>
      </c>
      <c r="CK15" s="20">
        <f t="shared" si="2"/>
        <v>92</v>
      </c>
      <c r="CL15" s="20">
        <f t="shared" si="2"/>
        <v>0</v>
      </c>
      <c r="CM15" s="41">
        <f t="shared" si="2"/>
        <v>1</v>
      </c>
      <c r="CN15" s="34">
        <f t="shared" si="2"/>
        <v>0</v>
      </c>
      <c r="CO15" s="20">
        <f t="shared" si="2"/>
        <v>110353.27026199999</v>
      </c>
      <c r="CP15" s="20">
        <f t="shared" si="2"/>
        <v>23125.260086999999</v>
      </c>
      <c r="CQ15" s="20">
        <f t="shared" si="2"/>
        <v>58856.954724000003</v>
      </c>
      <c r="CR15" s="41">
        <f t="shared" si="2"/>
        <v>1</v>
      </c>
      <c r="CS15" s="34">
        <f t="shared" si="2"/>
        <v>19</v>
      </c>
      <c r="CT15" s="20">
        <f t="shared" si="2"/>
        <v>1150</v>
      </c>
      <c r="CU15" s="20">
        <f t="shared" si="2"/>
        <v>457</v>
      </c>
      <c r="CV15" s="20">
        <f t="shared" si="2"/>
        <v>0</v>
      </c>
      <c r="CW15" s="41">
        <f t="shared" si="2"/>
        <v>1</v>
      </c>
      <c r="CX15" s="34">
        <f t="shared" si="2"/>
        <v>11</v>
      </c>
      <c r="CY15" s="20">
        <f t="shared" si="2"/>
        <v>2994</v>
      </c>
      <c r="CZ15" s="20">
        <f t="shared" si="2"/>
        <v>1933</v>
      </c>
      <c r="DA15" s="20">
        <f t="shared" si="2"/>
        <v>545</v>
      </c>
      <c r="DB15" s="41">
        <f t="shared" si="2"/>
        <v>1</v>
      </c>
      <c r="DC15" s="34">
        <f t="shared" si="2"/>
        <v>217</v>
      </c>
      <c r="DD15" s="20">
        <f t="shared" si="2"/>
        <v>373759</v>
      </c>
      <c r="DE15" s="20">
        <f t="shared" si="2"/>
        <v>18727</v>
      </c>
      <c r="DF15" s="20">
        <f t="shared" si="2"/>
        <v>27382</v>
      </c>
      <c r="DG15" s="41">
        <f t="shared" si="2"/>
        <v>0.99990000000000001</v>
      </c>
      <c r="DH15" s="34">
        <f t="shared" si="2"/>
        <v>2</v>
      </c>
      <c r="DI15" s="20">
        <f t="shared" si="2"/>
        <v>60295</v>
      </c>
      <c r="DJ15" s="20">
        <f t="shared" si="2"/>
        <v>406</v>
      </c>
      <c r="DK15" s="20">
        <f t="shared" si="2"/>
        <v>18</v>
      </c>
      <c r="DL15" s="66">
        <f t="shared" si="2"/>
        <v>1</v>
      </c>
      <c r="DM15" s="34">
        <f t="shared" si="2"/>
        <v>89</v>
      </c>
      <c r="DN15" s="20">
        <f t="shared" si="2"/>
        <v>66954</v>
      </c>
      <c r="DO15" s="20">
        <f t="shared" si="2"/>
        <v>3278.66</v>
      </c>
      <c r="DP15" s="20">
        <f t="shared" si="2"/>
        <v>4149</v>
      </c>
      <c r="DQ15" s="41">
        <f t="shared" si="2"/>
        <v>1</v>
      </c>
      <c r="DR15" s="34">
        <f t="shared" ref="DR15" si="3">SUM(DR5:DR14)</f>
        <v>211</v>
      </c>
      <c r="DS15" s="20">
        <f t="shared" ref="DS15" si="4">SUM(DS5:DS14)</f>
        <v>339804.99</v>
      </c>
      <c r="DT15" s="20">
        <f t="shared" ref="DT15" si="5">SUM(DT5:DT14)</f>
        <v>13683.87</v>
      </c>
      <c r="DU15" s="20">
        <f t="shared" ref="DU15" si="6">SUM(DU5:DU14)</f>
        <v>66910.350000000006</v>
      </c>
      <c r="DV15" s="41">
        <f t="shared" ref="DV15" si="7">SUM(DV5:DV14)</f>
        <v>1.0002</v>
      </c>
      <c r="DW15" s="34">
        <f t="shared" si="2"/>
        <v>29</v>
      </c>
      <c r="DX15" s="20">
        <f t="shared" si="2"/>
        <v>3400.21</v>
      </c>
      <c r="DY15" s="20">
        <f t="shared" si="2"/>
        <v>512.4</v>
      </c>
      <c r="DZ15" s="20">
        <f t="shared" si="2"/>
        <v>105.39</v>
      </c>
      <c r="EA15" s="41">
        <f t="shared" si="2"/>
        <v>0.98409999999999997</v>
      </c>
      <c r="EB15" s="34">
        <f t="shared" si="2"/>
        <v>4</v>
      </c>
      <c r="EC15" s="20">
        <f t="shared" si="2"/>
        <v>220552</v>
      </c>
      <c r="ED15" s="20">
        <f t="shared" si="2"/>
        <v>360</v>
      </c>
      <c r="EE15" s="20">
        <f t="shared" si="2"/>
        <v>0</v>
      </c>
      <c r="EF15" s="41">
        <f t="shared" si="2"/>
        <v>1</v>
      </c>
      <c r="EG15" s="34">
        <f t="shared" si="2"/>
        <v>146</v>
      </c>
      <c r="EH15" s="20">
        <f t="shared" si="2"/>
        <v>231754</v>
      </c>
      <c r="EI15" s="20">
        <f t="shared" si="2"/>
        <v>11901</v>
      </c>
      <c r="EJ15" s="20">
        <f t="shared" si="2"/>
        <v>19816</v>
      </c>
      <c r="EK15" s="41">
        <f t="shared" si="2"/>
        <v>0.99990000000000001</v>
      </c>
      <c r="EL15" s="34">
        <f t="shared" si="2"/>
        <v>0</v>
      </c>
      <c r="EM15" s="20">
        <f t="shared" si="2"/>
        <v>0</v>
      </c>
      <c r="EN15" s="20">
        <f t="shared" si="2"/>
        <v>0</v>
      </c>
      <c r="EO15" s="20">
        <f t="shared" si="2"/>
        <v>0</v>
      </c>
      <c r="EP15" s="41">
        <f t="shared" si="2"/>
        <v>0</v>
      </c>
      <c r="EQ15" s="20">
        <f t="shared" si="2"/>
        <v>0</v>
      </c>
      <c r="ER15" s="20">
        <f t="shared" si="2"/>
        <v>142911</v>
      </c>
      <c r="ES15" s="20">
        <f t="shared" si="2"/>
        <v>30627</v>
      </c>
      <c r="ET15" s="20">
        <f t="shared" si="2"/>
        <v>39146</v>
      </c>
      <c r="EU15" s="41">
        <f t="shared" ref="EU15:FE15" si="8">SUM(EU5:EU14)</f>
        <v>1.0001</v>
      </c>
      <c r="EV15" s="34">
        <f t="shared" si="8"/>
        <v>266</v>
      </c>
      <c r="EW15" s="20">
        <f t="shared" si="8"/>
        <v>143534</v>
      </c>
      <c r="EX15" s="20">
        <f t="shared" si="8"/>
        <v>55758</v>
      </c>
      <c r="EY15" s="20">
        <f t="shared" si="8"/>
        <v>78859</v>
      </c>
      <c r="EZ15" s="41">
        <f t="shared" si="8"/>
        <v>1.0001</v>
      </c>
      <c r="FA15" s="34">
        <f t="shared" si="8"/>
        <v>163</v>
      </c>
      <c r="FB15" s="20">
        <f t="shared" si="8"/>
        <v>138605</v>
      </c>
      <c r="FC15" s="20">
        <f t="shared" si="8"/>
        <v>10505</v>
      </c>
      <c r="FD15" s="20">
        <f t="shared" si="8"/>
        <v>39274</v>
      </c>
      <c r="FE15" s="41">
        <f t="shared" si="8"/>
        <v>1</v>
      </c>
    </row>
  </sheetData>
  <mergeCells count="129">
    <mergeCell ref="A3:A4"/>
    <mergeCell ref="EW3:EY3"/>
    <mergeCell ref="EZ3:EZ4"/>
    <mergeCell ref="FA3:FA4"/>
    <mergeCell ref="FB3:FD3"/>
    <mergeCell ref="FE3:FE4"/>
    <mergeCell ref="EM3:EO3"/>
    <mergeCell ref="EP3:EP4"/>
    <mergeCell ref="EQ3:EQ4"/>
    <mergeCell ref="ER3:ET3"/>
    <mergeCell ref="EU3:EU4"/>
    <mergeCell ref="EV3:EV4"/>
    <mergeCell ref="EC3:EE3"/>
    <mergeCell ref="EF3:EF4"/>
    <mergeCell ref="EG3:EG4"/>
    <mergeCell ref="EH3:EJ3"/>
    <mergeCell ref="EK3:EK4"/>
    <mergeCell ref="EL3:EL4"/>
    <mergeCell ref="DN3:DP3"/>
    <mergeCell ref="DQ3:DQ4"/>
    <mergeCell ref="DW3:DW4"/>
    <mergeCell ref="DX3:DZ3"/>
    <mergeCell ref="EA3:EA4"/>
    <mergeCell ref="EB3:EB4"/>
    <mergeCell ref="DD3:DF3"/>
    <mergeCell ref="DG3:DG4"/>
    <mergeCell ref="DH3:DH4"/>
    <mergeCell ref="DI3:DK3"/>
    <mergeCell ref="DL3:DL4"/>
    <mergeCell ref="DM3:DM4"/>
    <mergeCell ref="DR3:DR4"/>
    <mergeCell ref="DS3:DU3"/>
    <mergeCell ref="DV3:DV4"/>
    <mergeCell ref="CT3:CV3"/>
    <mergeCell ref="CW3:CW4"/>
    <mergeCell ref="CX3:CX4"/>
    <mergeCell ref="CY3:DA3"/>
    <mergeCell ref="DB3:DB4"/>
    <mergeCell ref="DC3:DC4"/>
    <mergeCell ref="CJ3:CL3"/>
    <mergeCell ref="CM3:CM4"/>
    <mergeCell ref="CN3:CN4"/>
    <mergeCell ref="CO3:CQ3"/>
    <mergeCell ref="CR3:CR4"/>
    <mergeCell ref="CS3:CS4"/>
    <mergeCell ref="BZ3:CB3"/>
    <mergeCell ref="CC3:CC4"/>
    <mergeCell ref="CD3:CD4"/>
    <mergeCell ref="CE3:CG3"/>
    <mergeCell ref="CH3:CH4"/>
    <mergeCell ref="CI3:CI4"/>
    <mergeCell ref="BP3:BR3"/>
    <mergeCell ref="BS3:BS4"/>
    <mergeCell ref="BT3:BT4"/>
    <mergeCell ref="BU3:BW3"/>
    <mergeCell ref="BX3:BX4"/>
    <mergeCell ref="BY3:BY4"/>
    <mergeCell ref="BI3:BI4"/>
    <mergeCell ref="BJ3:BJ4"/>
    <mergeCell ref="BK3:BM3"/>
    <mergeCell ref="BN3:BN4"/>
    <mergeCell ref="BO3:BO4"/>
    <mergeCell ref="BA3:BC3"/>
    <mergeCell ref="BD3:BD4"/>
    <mergeCell ref="BE3:BE4"/>
    <mergeCell ref="AY3:AY4"/>
    <mergeCell ref="AZ3:AZ4"/>
    <mergeCell ref="AG3:AI3"/>
    <mergeCell ref="AJ3:AJ4"/>
    <mergeCell ref="AK3:AK4"/>
    <mergeCell ref="AL3:AN3"/>
    <mergeCell ref="AO3:AO4"/>
    <mergeCell ref="AP3:AP4"/>
    <mergeCell ref="BF3:BH3"/>
    <mergeCell ref="P3:P4"/>
    <mergeCell ref="Q3:Q4"/>
    <mergeCell ref="R3:T3"/>
    <mergeCell ref="U3:U4"/>
    <mergeCell ref="V3:V4"/>
    <mergeCell ref="AQ3:AS3"/>
    <mergeCell ref="AT3:AT4"/>
    <mergeCell ref="AU3:AU4"/>
    <mergeCell ref="AV3:AX3"/>
    <mergeCell ref="B3:B4"/>
    <mergeCell ref="C3:E3"/>
    <mergeCell ref="F3:F4"/>
    <mergeCell ref="G3:G4"/>
    <mergeCell ref="H3:J3"/>
    <mergeCell ref="K3:K4"/>
    <mergeCell ref="L3:L4"/>
    <mergeCell ref="DM2:DQ2"/>
    <mergeCell ref="DW2:EA2"/>
    <mergeCell ref="CI2:CM2"/>
    <mergeCell ref="CN2:CR2"/>
    <mergeCell ref="CS2:CW2"/>
    <mergeCell ref="CX2:DB2"/>
    <mergeCell ref="DC2:DG2"/>
    <mergeCell ref="DH2:DL2"/>
    <mergeCell ref="BE2:BI2"/>
    <mergeCell ref="BJ2:BN2"/>
    <mergeCell ref="W3:Y3"/>
    <mergeCell ref="Z3:Z4"/>
    <mergeCell ref="AA3:AA4"/>
    <mergeCell ref="AB3:AD3"/>
    <mergeCell ref="AE3:AE4"/>
    <mergeCell ref="AF3:AF4"/>
    <mergeCell ref="M3:O3"/>
    <mergeCell ref="CD2:CH2"/>
    <mergeCell ref="AF2:AJ2"/>
    <mergeCell ref="AK2:AO2"/>
    <mergeCell ref="AP2:AT2"/>
    <mergeCell ref="AU2:AY2"/>
    <mergeCell ref="AZ2:BD2"/>
    <mergeCell ref="EV2:EZ2"/>
    <mergeCell ref="FA2:FE2"/>
    <mergeCell ref="DR2:DV2"/>
    <mergeCell ref="EB2:EF2"/>
    <mergeCell ref="EG2:EK2"/>
    <mergeCell ref="EL2:EP2"/>
    <mergeCell ref="EQ2:EU2"/>
    <mergeCell ref="B2:F2"/>
    <mergeCell ref="G2:K2"/>
    <mergeCell ref="L2:P2"/>
    <mergeCell ref="Q2:U2"/>
    <mergeCell ref="V2:Z2"/>
    <mergeCell ref="AA2:AE2"/>
    <mergeCell ref="BO2:BS2"/>
    <mergeCell ref="BT2:BX2"/>
    <mergeCell ref="BY2:CC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1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33.140625" style="76" customWidth="1"/>
    <col min="2" max="97" width="10.85546875" style="76" customWidth="1"/>
    <col min="98" max="16384" width="9.140625" style="76"/>
  </cols>
  <sheetData>
    <row r="1" spans="1:97" ht="18.75" x14ac:dyDescent="0.3">
      <c r="A1" s="8" t="s">
        <v>305</v>
      </c>
    </row>
    <row r="2" spans="1:97" x14ac:dyDescent="0.25">
      <c r="A2" s="76" t="s">
        <v>161</v>
      </c>
    </row>
    <row r="3" spans="1:97" x14ac:dyDescent="0.25">
      <c r="A3" s="1" t="s">
        <v>0</v>
      </c>
      <c r="B3" s="125" t="s">
        <v>1</v>
      </c>
      <c r="C3" s="125"/>
      <c r="D3" s="125"/>
      <c r="E3" s="125" t="s">
        <v>282</v>
      </c>
      <c r="F3" s="125"/>
      <c r="G3" s="125"/>
      <c r="H3" s="125" t="s">
        <v>2</v>
      </c>
      <c r="I3" s="125"/>
      <c r="J3" s="125"/>
      <c r="K3" s="125" t="s">
        <v>3</v>
      </c>
      <c r="L3" s="125"/>
      <c r="M3" s="125"/>
      <c r="N3" s="125" t="s">
        <v>4</v>
      </c>
      <c r="O3" s="125"/>
      <c r="P3" s="125"/>
      <c r="Q3" s="125" t="s">
        <v>283</v>
      </c>
      <c r="R3" s="125"/>
      <c r="S3" s="125"/>
      <c r="T3" s="125" t="s">
        <v>6</v>
      </c>
      <c r="U3" s="125"/>
      <c r="V3" s="125"/>
      <c r="W3" s="125" t="s">
        <v>5</v>
      </c>
      <c r="X3" s="125"/>
      <c r="Y3" s="125"/>
      <c r="Z3" s="125" t="s">
        <v>7</v>
      </c>
      <c r="AA3" s="125"/>
      <c r="AB3" s="125"/>
      <c r="AC3" s="125" t="s">
        <v>284</v>
      </c>
      <c r="AD3" s="125"/>
      <c r="AE3" s="125"/>
      <c r="AF3" s="125" t="s">
        <v>8</v>
      </c>
      <c r="AG3" s="125"/>
      <c r="AH3" s="125"/>
      <c r="AI3" s="125" t="s">
        <v>9</v>
      </c>
      <c r="AJ3" s="125"/>
      <c r="AK3" s="125"/>
      <c r="AL3" s="125" t="s">
        <v>10</v>
      </c>
      <c r="AM3" s="125"/>
      <c r="AN3" s="125"/>
      <c r="AO3" s="125" t="s">
        <v>293</v>
      </c>
      <c r="AP3" s="125"/>
      <c r="AQ3" s="125"/>
      <c r="AR3" s="125" t="s">
        <v>11</v>
      </c>
      <c r="AS3" s="125"/>
      <c r="AT3" s="125"/>
      <c r="AU3" s="125" t="s">
        <v>12</v>
      </c>
      <c r="AV3" s="125"/>
      <c r="AW3" s="125"/>
      <c r="AX3" s="125" t="s">
        <v>285</v>
      </c>
      <c r="AY3" s="125"/>
      <c r="AZ3" s="125"/>
      <c r="BA3" s="125" t="s">
        <v>290</v>
      </c>
      <c r="BB3" s="125"/>
      <c r="BC3" s="125"/>
      <c r="BD3" s="125" t="s">
        <v>13</v>
      </c>
      <c r="BE3" s="125"/>
      <c r="BF3" s="125"/>
      <c r="BG3" s="125" t="s">
        <v>286</v>
      </c>
      <c r="BH3" s="125"/>
      <c r="BI3" s="125"/>
      <c r="BJ3" s="125" t="s">
        <v>287</v>
      </c>
      <c r="BK3" s="125"/>
      <c r="BL3" s="125"/>
      <c r="BM3" s="125" t="s">
        <v>291</v>
      </c>
      <c r="BN3" s="125"/>
      <c r="BO3" s="125"/>
      <c r="BP3" s="125" t="s">
        <v>294</v>
      </c>
      <c r="BQ3" s="125"/>
      <c r="BR3" s="125"/>
      <c r="BS3" s="125" t="s">
        <v>14</v>
      </c>
      <c r="BT3" s="125"/>
      <c r="BU3" s="125"/>
      <c r="BV3" s="125" t="s">
        <v>15</v>
      </c>
      <c r="BW3" s="125"/>
      <c r="BX3" s="125"/>
      <c r="BY3" s="125" t="s">
        <v>16</v>
      </c>
      <c r="BZ3" s="125"/>
      <c r="CA3" s="125"/>
      <c r="CB3" s="125" t="s">
        <v>17</v>
      </c>
      <c r="CC3" s="125"/>
      <c r="CD3" s="125"/>
      <c r="CE3" s="125" t="s">
        <v>18</v>
      </c>
      <c r="CF3" s="125"/>
      <c r="CG3" s="125"/>
      <c r="CH3" s="125" t="s">
        <v>288</v>
      </c>
      <c r="CI3" s="125"/>
      <c r="CJ3" s="125"/>
      <c r="CK3" s="125" t="s">
        <v>289</v>
      </c>
      <c r="CL3" s="125"/>
      <c r="CM3" s="125"/>
      <c r="CN3" s="125" t="s">
        <v>19</v>
      </c>
      <c r="CO3" s="125"/>
      <c r="CP3" s="125"/>
      <c r="CQ3" s="125" t="s">
        <v>20</v>
      </c>
      <c r="CR3" s="125"/>
      <c r="CS3" s="125"/>
    </row>
    <row r="4" spans="1:97" x14ac:dyDescent="0.25">
      <c r="A4" s="84"/>
      <c r="B4" s="75" t="s">
        <v>148</v>
      </c>
      <c r="C4" s="75" t="s">
        <v>149</v>
      </c>
      <c r="D4" s="75" t="s">
        <v>150</v>
      </c>
      <c r="E4" s="75" t="s">
        <v>148</v>
      </c>
      <c r="F4" s="75" t="s">
        <v>149</v>
      </c>
      <c r="G4" s="75" t="s">
        <v>150</v>
      </c>
      <c r="H4" s="75" t="s">
        <v>148</v>
      </c>
      <c r="I4" s="75" t="s">
        <v>149</v>
      </c>
      <c r="J4" s="75" t="s">
        <v>150</v>
      </c>
      <c r="K4" s="75" t="s">
        <v>148</v>
      </c>
      <c r="L4" s="75" t="s">
        <v>149</v>
      </c>
      <c r="M4" s="75" t="s">
        <v>150</v>
      </c>
      <c r="N4" s="75" t="s">
        <v>148</v>
      </c>
      <c r="O4" s="75" t="s">
        <v>149</v>
      </c>
      <c r="P4" s="75" t="s">
        <v>150</v>
      </c>
      <c r="Q4" s="75" t="s">
        <v>148</v>
      </c>
      <c r="R4" s="75" t="s">
        <v>149</v>
      </c>
      <c r="S4" s="75" t="s">
        <v>150</v>
      </c>
      <c r="T4" s="75" t="s">
        <v>148</v>
      </c>
      <c r="U4" s="75" t="s">
        <v>149</v>
      </c>
      <c r="V4" s="75" t="s">
        <v>150</v>
      </c>
      <c r="W4" s="75" t="s">
        <v>148</v>
      </c>
      <c r="X4" s="75" t="s">
        <v>149</v>
      </c>
      <c r="Y4" s="75" t="s">
        <v>150</v>
      </c>
      <c r="Z4" s="75" t="s">
        <v>148</v>
      </c>
      <c r="AA4" s="75" t="s">
        <v>149</v>
      </c>
      <c r="AB4" s="75" t="s">
        <v>150</v>
      </c>
      <c r="AC4" s="75" t="s">
        <v>148</v>
      </c>
      <c r="AD4" s="75" t="s">
        <v>149</v>
      </c>
      <c r="AE4" s="75" t="s">
        <v>150</v>
      </c>
      <c r="AF4" s="75" t="s">
        <v>148</v>
      </c>
      <c r="AG4" s="75" t="s">
        <v>149</v>
      </c>
      <c r="AH4" s="75" t="s">
        <v>150</v>
      </c>
      <c r="AI4" s="75" t="s">
        <v>148</v>
      </c>
      <c r="AJ4" s="75" t="s">
        <v>149</v>
      </c>
      <c r="AK4" s="75" t="s">
        <v>150</v>
      </c>
      <c r="AL4" s="75" t="s">
        <v>148</v>
      </c>
      <c r="AM4" s="75" t="s">
        <v>149</v>
      </c>
      <c r="AN4" s="75" t="s">
        <v>150</v>
      </c>
      <c r="AO4" s="75" t="s">
        <v>148</v>
      </c>
      <c r="AP4" s="75" t="s">
        <v>149</v>
      </c>
      <c r="AQ4" s="75" t="s">
        <v>150</v>
      </c>
      <c r="AR4" s="75" t="s">
        <v>148</v>
      </c>
      <c r="AS4" s="75" t="s">
        <v>149</v>
      </c>
      <c r="AT4" s="75" t="s">
        <v>150</v>
      </c>
      <c r="AU4" s="75" t="s">
        <v>148</v>
      </c>
      <c r="AV4" s="75" t="s">
        <v>149</v>
      </c>
      <c r="AW4" s="75" t="s">
        <v>150</v>
      </c>
      <c r="AX4" s="75" t="s">
        <v>148</v>
      </c>
      <c r="AY4" s="75" t="s">
        <v>149</v>
      </c>
      <c r="AZ4" s="75" t="s">
        <v>150</v>
      </c>
      <c r="BA4" s="75" t="s">
        <v>148</v>
      </c>
      <c r="BB4" s="75" t="s">
        <v>149</v>
      </c>
      <c r="BC4" s="75" t="s">
        <v>150</v>
      </c>
      <c r="BD4" s="75" t="s">
        <v>148</v>
      </c>
      <c r="BE4" s="75" t="s">
        <v>149</v>
      </c>
      <c r="BF4" s="75" t="s">
        <v>150</v>
      </c>
      <c r="BG4" s="75" t="s">
        <v>148</v>
      </c>
      <c r="BH4" s="75" t="s">
        <v>149</v>
      </c>
      <c r="BI4" s="75" t="s">
        <v>150</v>
      </c>
      <c r="BJ4" s="75" t="s">
        <v>148</v>
      </c>
      <c r="BK4" s="75" t="s">
        <v>149</v>
      </c>
      <c r="BL4" s="75" t="s">
        <v>150</v>
      </c>
      <c r="BM4" s="75" t="s">
        <v>148</v>
      </c>
      <c r="BN4" s="75" t="s">
        <v>149</v>
      </c>
      <c r="BO4" s="75" t="s">
        <v>150</v>
      </c>
      <c r="BP4" s="75" t="s">
        <v>148</v>
      </c>
      <c r="BQ4" s="75" t="s">
        <v>149</v>
      </c>
      <c r="BR4" s="75" t="s">
        <v>150</v>
      </c>
      <c r="BS4" s="75" t="s">
        <v>148</v>
      </c>
      <c r="BT4" s="75" t="s">
        <v>149</v>
      </c>
      <c r="BU4" s="75" t="s">
        <v>150</v>
      </c>
      <c r="BV4" s="75" t="s">
        <v>148</v>
      </c>
      <c r="BW4" s="75" t="s">
        <v>149</v>
      </c>
      <c r="BX4" s="75" t="s">
        <v>150</v>
      </c>
      <c r="BY4" s="75" t="s">
        <v>148</v>
      </c>
      <c r="BZ4" s="75" t="s">
        <v>149</v>
      </c>
      <c r="CA4" s="75" t="s">
        <v>150</v>
      </c>
      <c r="CB4" s="75" t="s">
        <v>148</v>
      </c>
      <c r="CC4" s="75" t="s">
        <v>149</v>
      </c>
      <c r="CD4" s="75" t="s">
        <v>150</v>
      </c>
      <c r="CE4" s="75" t="s">
        <v>148</v>
      </c>
      <c r="CF4" s="75" t="s">
        <v>149</v>
      </c>
      <c r="CG4" s="75" t="s">
        <v>150</v>
      </c>
      <c r="CH4" s="75" t="s">
        <v>148</v>
      </c>
      <c r="CI4" s="75" t="s">
        <v>149</v>
      </c>
      <c r="CJ4" s="75" t="s">
        <v>150</v>
      </c>
      <c r="CK4" s="75" t="s">
        <v>148</v>
      </c>
      <c r="CL4" s="75" t="s">
        <v>149</v>
      </c>
      <c r="CM4" s="75" t="s">
        <v>150</v>
      </c>
      <c r="CN4" s="75" t="s">
        <v>148</v>
      </c>
      <c r="CO4" s="75" t="s">
        <v>149</v>
      </c>
      <c r="CP4" s="75" t="s">
        <v>150</v>
      </c>
      <c r="CQ4" s="75" t="s">
        <v>148</v>
      </c>
      <c r="CR4" s="75" t="s">
        <v>149</v>
      </c>
      <c r="CS4" s="75" t="s">
        <v>150</v>
      </c>
    </row>
    <row r="5" spans="1:97" x14ac:dyDescent="0.25">
      <c r="A5" s="84" t="s">
        <v>151</v>
      </c>
      <c r="B5" s="84">
        <v>324</v>
      </c>
      <c r="C5" s="84">
        <f>D5-B5</f>
        <v>10047</v>
      </c>
      <c r="D5" s="84">
        <v>10371</v>
      </c>
      <c r="E5" s="84"/>
      <c r="F5" s="84">
        <f>G5-E5</f>
        <v>7759</v>
      </c>
      <c r="G5" s="84">
        <v>7759</v>
      </c>
      <c r="H5" s="84"/>
      <c r="I5" s="84">
        <f>J5-H5</f>
        <v>5072491</v>
      </c>
      <c r="J5" s="103">
        <v>5072491</v>
      </c>
      <c r="K5" s="84">
        <v>52721</v>
      </c>
      <c r="L5" s="84">
        <f>M5-K5</f>
        <v>176618</v>
      </c>
      <c r="M5" s="84">
        <v>229339</v>
      </c>
      <c r="N5" s="84"/>
      <c r="O5" s="84">
        <f>P5-N5</f>
        <v>0</v>
      </c>
      <c r="P5" s="84"/>
      <c r="Q5" s="84">
        <v>29094</v>
      </c>
      <c r="R5" s="84">
        <f>S5-Q5</f>
        <v>46056</v>
      </c>
      <c r="S5" s="84">
        <v>75150</v>
      </c>
      <c r="T5" s="84"/>
      <c r="U5" s="84">
        <f>V5-T5</f>
        <v>976</v>
      </c>
      <c r="V5" s="84">
        <v>976</v>
      </c>
      <c r="W5" s="84">
        <v>158</v>
      </c>
      <c r="X5" s="84">
        <f>Y5-W5</f>
        <v>2392</v>
      </c>
      <c r="Y5" s="84">
        <v>2550</v>
      </c>
      <c r="Z5" s="84">
        <v>8397</v>
      </c>
      <c r="AA5" s="84">
        <f>AB5-Z5</f>
        <v>18715</v>
      </c>
      <c r="AB5" s="84">
        <v>27112</v>
      </c>
      <c r="AC5" s="84"/>
      <c r="AD5" s="84">
        <f>AE5-AC5</f>
        <v>0</v>
      </c>
      <c r="AE5" s="84"/>
      <c r="AF5" s="84">
        <v>33947</v>
      </c>
      <c r="AG5" s="84">
        <f>AH5-AF5</f>
        <v>100635</v>
      </c>
      <c r="AH5" s="84">
        <v>134582</v>
      </c>
      <c r="AI5" s="84">
        <v>49159</v>
      </c>
      <c r="AJ5" s="84">
        <f>AK5-AI5</f>
        <v>171600</v>
      </c>
      <c r="AK5" s="84">
        <v>220759</v>
      </c>
      <c r="AL5" s="84">
        <v>35192</v>
      </c>
      <c r="AM5" s="84">
        <f>AN5-AL5</f>
        <v>52552</v>
      </c>
      <c r="AN5" s="84">
        <v>87744</v>
      </c>
      <c r="AO5" s="84">
        <v>838</v>
      </c>
      <c r="AP5" s="84">
        <f>AQ5-AO5</f>
        <v>4197</v>
      </c>
      <c r="AQ5" s="84">
        <v>5035</v>
      </c>
      <c r="AR5" s="84">
        <v>6630</v>
      </c>
      <c r="AS5" s="84">
        <f>AT5-AR5</f>
        <v>7994</v>
      </c>
      <c r="AT5" s="84">
        <v>14624</v>
      </c>
      <c r="AU5" s="84">
        <v>7433</v>
      </c>
      <c r="AV5" s="84">
        <f>AW5-AU5</f>
        <v>6501</v>
      </c>
      <c r="AW5" s="84">
        <v>13934</v>
      </c>
      <c r="AX5" s="84"/>
      <c r="AY5" s="84">
        <f>AZ5-AX5</f>
        <v>5677</v>
      </c>
      <c r="AZ5" s="103">
        <v>5677</v>
      </c>
      <c r="BA5" s="84"/>
      <c r="BB5" s="84">
        <f>BC5-BA5</f>
        <v>9297</v>
      </c>
      <c r="BC5" s="84">
        <v>9297</v>
      </c>
      <c r="BD5" s="102">
        <v>98004</v>
      </c>
      <c r="BE5" s="84">
        <f>BF5-BD5</f>
        <v>411357</v>
      </c>
      <c r="BF5" s="84">
        <v>509361</v>
      </c>
      <c r="BG5" s="84">
        <v>185</v>
      </c>
      <c r="BH5" s="84">
        <f>BI5-BG5</f>
        <v>749</v>
      </c>
      <c r="BI5" s="84">
        <v>934</v>
      </c>
      <c r="BJ5" s="84">
        <v>568</v>
      </c>
      <c r="BK5" s="84">
        <f>BL5-BJ5</f>
        <v>2161</v>
      </c>
      <c r="BL5" s="84">
        <v>2729</v>
      </c>
      <c r="BM5" s="84">
        <v>57788</v>
      </c>
      <c r="BN5" s="84">
        <f>BO5-BM5</f>
        <v>243577</v>
      </c>
      <c r="BO5" s="84">
        <v>301365</v>
      </c>
      <c r="BP5" s="84"/>
      <c r="BQ5" s="84">
        <f>BR5-BP5</f>
        <v>17272</v>
      </c>
      <c r="BR5" s="84">
        <v>17272</v>
      </c>
      <c r="BS5" s="84">
        <v>21442</v>
      </c>
      <c r="BT5" s="84">
        <f>BU5-BS5</f>
        <v>26947</v>
      </c>
      <c r="BU5" s="84">
        <v>48389</v>
      </c>
      <c r="BV5" s="84">
        <v>8220</v>
      </c>
      <c r="BW5" s="84">
        <f>BX5-BV5</f>
        <v>79962</v>
      </c>
      <c r="BX5" s="84">
        <v>88182</v>
      </c>
      <c r="BY5" s="84">
        <v>42909</v>
      </c>
      <c r="BZ5" s="84">
        <f>CA5-BY5</f>
        <v>11905</v>
      </c>
      <c r="CA5" s="84">
        <v>54814</v>
      </c>
      <c r="CB5" s="84"/>
      <c r="CC5" s="84">
        <f>CD5-CB5</f>
        <v>121040</v>
      </c>
      <c r="CD5" s="84">
        <v>121040</v>
      </c>
      <c r="CE5" s="103">
        <v>23532</v>
      </c>
      <c r="CF5" s="84">
        <f>CG5-CE5</f>
        <v>86006</v>
      </c>
      <c r="CG5" s="103">
        <v>109538</v>
      </c>
      <c r="CH5" s="84">
        <v>161202</v>
      </c>
      <c r="CI5" s="84">
        <f>CJ5-CH5</f>
        <v>267423</v>
      </c>
      <c r="CJ5" s="84">
        <v>428625</v>
      </c>
      <c r="CK5" s="103">
        <v>93055</v>
      </c>
      <c r="CL5" s="84">
        <f>CM5-CK5</f>
        <v>469249</v>
      </c>
      <c r="CM5" s="103">
        <v>562304</v>
      </c>
      <c r="CN5" s="103">
        <v>169752</v>
      </c>
      <c r="CO5" s="84">
        <f>CP5-CN5</f>
        <v>600311</v>
      </c>
      <c r="CP5" s="25">
        <v>770063</v>
      </c>
      <c r="CQ5" s="103">
        <v>8039</v>
      </c>
      <c r="CR5" s="84">
        <f>CS5-CQ5</f>
        <v>9347</v>
      </c>
      <c r="CS5" s="103">
        <v>17386</v>
      </c>
    </row>
    <row r="6" spans="1:97" x14ac:dyDescent="0.25">
      <c r="A6" s="84" t="s">
        <v>152</v>
      </c>
      <c r="B6" s="84">
        <v>149</v>
      </c>
      <c r="C6" s="84">
        <f t="shared" ref="C6:C14" si="0">D6-B6</f>
        <v>48114</v>
      </c>
      <c r="D6" s="84">
        <v>48263</v>
      </c>
      <c r="E6" s="84"/>
      <c r="F6" s="84">
        <f t="shared" ref="F6:F14" si="1">G6-E6</f>
        <v>41366</v>
      </c>
      <c r="G6" s="84">
        <v>41366</v>
      </c>
      <c r="H6" s="84"/>
      <c r="I6" s="84">
        <f t="shared" ref="I6:I14" si="2">J6-H6</f>
        <v>752474</v>
      </c>
      <c r="J6" s="103">
        <v>752474</v>
      </c>
      <c r="K6" s="84">
        <v>5732</v>
      </c>
      <c r="L6" s="84">
        <f t="shared" ref="L6:L14" si="3">M6-K6</f>
        <v>797213</v>
      </c>
      <c r="M6" s="84">
        <v>802945</v>
      </c>
      <c r="N6" s="84"/>
      <c r="O6" s="84">
        <f t="shared" ref="O6:O14" si="4">P6-N6</f>
        <v>0</v>
      </c>
      <c r="P6" s="84"/>
      <c r="Q6" s="84">
        <v>5065</v>
      </c>
      <c r="R6" s="84">
        <f t="shared" ref="R6:R14" si="5">S6-Q6</f>
        <v>99532</v>
      </c>
      <c r="S6" s="84">
        <v>104597</v>
      </c>
      <c r="T6" s="84"/>
      <c r="U6" s="84">
        <f t="shared" ref="U6:U14" si="6">V6-T6</f>
        <v>393</v>
      </c>
      <c r="V6" s="84">
        <v>393</v>
      </c>
      <c r="W6" s="84">
        <v>52</v>
      </c>
      <c r="X6" s="84">
        <f t="shared" ref="X6:X14" si="7">Y6-W6</f>
        <v>9610</v>
      </c>
      <c r="Y6" s="84">
        <v>9662</v>
      </c>
      <c r="Z6" s="84">
        <v>1269</v>
      </c>
      <c r="AA6" s="84">
        <f t="shared" ref="AA6:AA14" si="8">AB6-Z6</f>
        <v>88684</v>
      </c>
      <c r="AB6" s="84">
        <v>89953</v>
      </c>
      <c r="AC6" s="84"/>
      <c r="AD6" s="84">
        <f t="shared" ref="AD6:AD14" si="9">AE6-AC6</f>
        <v>0</v>
      </c>
      <c r="AE6" s="84"/>
      <c r="AF6" s="84">
        <v>3807</v>
      </c>
      <c r="AG6" s="84">
        <f t="shared" ref="AG6:AG14" si="10">AH6-AF6</f>
        <v>474422</v>
      </c>
      <c r="AH6" s="84">
        <v>478229</v>
      </c>
      <c r="AI6" s="84">
        <v>6672</v>
      </c>
      <c r="AJ6" s="84">
        <f t="shared" ref="AJ6:AJ14" si="11">AK6-AI6</f>
        <v>489087</v>
      </c>
      <c r="AK6" s="84">
        <v>495759</v>
      </c>
      <c r="AL6" s="84">
        <v>11168</v>
      </c>
      <c r="AM6" s="84">
        <f t="shared" ref="AM6:AM14" si="12">AN6-AL6</f>
        <v>1174691</v>
      </c>
      <c r="AN6" s="84">
        <v>1185859</v>
      </c>
      <c r="AO6" s="84">
        <v>186</v>
      </c>
      <c r="AP6" s="84">
        <f t="shared" ref="AP6:AP14" si="13">AQ6-AO6</f>
        <v>18630</v>
      </c>
      <c r="AQ6" s="84">
        <v>18816</v>
      </c>
      <c r="AR6" s="84">
        <v>811</v>
      </c>
      <c r="AS6" s="84">
        <f t="shared" ref="AS6:AS14" si="14">AT6-AR6</f>
        <v>58670</v>
      </c>
      <c r="AT6" s="84">
        <v>59481</v>
      </c>
      <c r="AU6" s="84">
        <v>848</v>
      </c>
      <c r="AV6" s="84">
        <f t="shared" ref="AV6:AV14" si="15">AW6-AU6</f>
        <v>24517</v>
      </c>
      <c r="AW6" s="84">
        <v>25365</v>
      </c>
      <c r="AX6" s="84"/>
      <c r="AY6" s="84">
        <f t="shared" ref="AY6:AY14" si="16">AZ6-AX6</f>
        <v>75952</v>
      </c>
      <c r="AZ6" s="103">
        <v>75952</v>
      </c>
      <c r="BA6" s="84"/>
      <c r="BB6" s="84">
        <f t="shared" ref="BB6:BB14" si="17">BC6-BA6</f>
        <v>55079</v>
      </c>
      <c r="BC6" s="84">
        <v>55079</v>
      </c>
      <c r="BD6" s="102">
        <v>84759</v>
      </c>
      <c r="BE6" s="84">
        <f t="shared" ref="BE6:BE14" si="18">BF6-BD6</f>
        <v>1214827</v>
      </c>
      <c r="BF6" s="84">
        <v>1299586</v>
      </c>
      <c r="BG6" s="84">
        <v>80</v>
      </c>
      <c r="BH6" s="84">
        <f t="shared" ref="BH6:BH14" si="19">BI6-BG6</f>
        <v>3153</v>
      </c>
      <c r="BI6" s="84">
        <v>3233</v>
      </c>
      <c r="BJ6" s="84">
        <v>142</v>
      </c>
      <c r="BK6" s="84">
        <f t="shared" ref="BK6:BK14" si="20">BL6-BJ6</f>
        <v>7537</v>
      </c>
      <c r="BL6" s="84">
        <v>7679</v>
      </c>
      <c r="BM6" s="84">
        <v>4156</v>
      </c>
      <c r="BN6" s="84">
        <f t="shared" ref="BN6:BN14" si="21">BO6-BM6</f>
        <v>585342</v>
      </c>
      <c r="BO6" s="84">
        <v>589498</v>
      </c>
      <c r="BP6" s="84"/>
      <c r="BQ6" s="84">
        <f t="shared" ref="BQ6:BQ14" si="22">BR6-BP6</f>
        <v>123033</v>
      </c>
      <c r="BR6" s="84">
        <v>123033</v>
      </c>
      <c r="BS6" s="84">
        <v>2303</v>
      </c>
      <c r="BT6" s="84">
        <f t="shared" ref="BT6:BT14" si="23">BU6-BS6</f>
        <v>86097</v>
      </c>
      <c r="BU6" s="84">
        <v>88400</v>
      </c>
      <c r="BV6" s="84">
        <v>2213</v>
      </c>
      <c r="BW6" s="84">
        <f t="shared" ref="BW6:BW14" si="24">BX6-BV6</f>
        <v>312508</v>
      </c>
      <c r="BX6" s="84">
        <v>314721</v>
      </c>
      <c r="BY6" s="84">
        <v>3017</v>
      </c>
      <c r="BZ6" s="84">
        <f t="shared" ref="BZ6:BZ14" si="25">CA6-BY6</f>
        <v>38539</v>
      </c>
      <c r="CA6" s="84">
        <v>41556</v>
      </c>
      <c r="CB6" s="84"/>
      <c r="CC6" s="84">
        <f t="shared" ref="CC6:CC14" si="26">CD6-CB6</f>
        <v>346939</v>
      </c>
      <c r="CD6" s="84">
        <v>346939</v>
      </c>
      <c r="CE6" s="103">
        <v>3533</v>
      </c>
      <c r="CF6" s="84">
        <f t="shared" ref="CF6:CF14" si="27">CG6-CE6</f>
        <v>363156</v>
      </c>
      <c r="CG6" s="103">
        <v>366689</v>
      </c>
      <c r="CH6" s="84">
        <v>22266</v>
      </c>
      <c r="CI6" s="84">
        <f t="shared" ref="CI6:CI14" si="28">CJ6-CH6</f>
        <v>1394064</v>
      </c>
      <c r="CJ6" s="84">
        <v>1416330</v>
      </c>
      <c r="CK6" s="103">
        <v>14552</v>
      </c>
      <c r="CL6" s="84">
        <f t="shared" ref="CL6:CL14" si="29">CM6-CK6</f>
        <v>453744</v>
      </c>
      <c r="CM6" s="103">
        <v>468296</v>
      </c>
      <c r="CN6" s="103">
        <v>16028</v>
      </c>
      <c r="CO6" s="84">
        <f t="shared" ref="CO6:CO14" si="30">CP6-CN6</f>
        <v>1911952</v>
      </c>
      <c r="CP6" s="103">
        <v>1927980</v>
      </c>
      <c r="CQ6" s="103">
        <v>2838</v>
      </c>
      <c r="CR6" s="84">
        <f t="shared" ref="CR6:CR14" si="31">CS6-CQ6</f>
        <v>217749</v>
      </c>
      <c r="CS6" s="103">
        <v>220587</v>
      </c>
    </row>
    <row r="7" spans="1:97" x14ac:dyDescent="0.25">
      <c r="A7" s="84" t="s">
        <v>153</v>
      </c>
      <c r="B7" s="84">
        <v>16</v>
      </c>
      <c r="C7" s="84">
        <f t="shared" si="0"/>
        <v>40710</v>
      </c>
      <c r="D7" s="84">
        <v>40726</v>
      </c>
      <c r="E7" s="84"/>
      <c r="F7" s="84">
        <f t="shared" si="1"/>
        <v>37586</v>
      </c>
      <c r="G7" s="84">
        <v>37586</v>
      </c>
      <c r="H7" s="84"/>
      <c r="I7" s="84">
        <f t="shared" si="2"/>
        <v>1232441</v>
      </c>
      <c r="J7" s="103">
        <v>1232441</v>
      </c>
      <c r="K7" s="84">
        <v>1720</v>
      </c>
      <c r="L7" s="84">
        <f t="shared" si="3"/>
        <v>630876</v>
      </c>
      <c r="M7" s="84">
        <v>632596</v>
      </c>
      <c r="N7" s="84"/>
      <c r="O7" s="84">
        <f t="shared" si="4"/>
        <v>0</v>
      </c>
      <c r="P7" s="84"/>
      <c r="Q7" s="84">
        <v>2161</v>
      </c>
      <c r="R7" s="84">
        <f t="shared" si="5"/>
        <v>94828</v>
      </c>
      <c r="S7" s="84">
        <v>96989</v>
      </c>
      <c r="T7" s="84"/>
      <c r="U7" s="84">
        <f t="shared" si="6"/>
        <v>299</v>
      </c>
      <c r="V7" s="84">
        <v>299</v>
      </c>
      <c r="W7" s="84">
        <v>11</v>
      </c>
      <c r="X7" s="84">
        <f t="shared" si="7"/>
        <v>9458</v>
      </c>
      <c r="Y7" s="84">
        <v>9469</v>
      </c>
      <c r="Z7" s="84">
        <v>835</v>
      </c>
      <c r="AA7" s="84">
        <f t="shared" si="8"/>
        <v>80411</v>
      </c>
      <c r="AB7" s="84">
        <v>81246</v>
      </c>
      <c r="AC7" s="84"/>
      <c r="AD7" s="84">
        <f t="shared" si="9"/>
        <v>0</v>
      </c>
      <c r="AE7" s="84"/>
      <c r="AF7" s="84">
        <v>1790</v>
      </c>
      <c r="AG7" s="84">
        <f t="shared" si="10"/>
        <v>447783</v>
      </c>
      <c r="AH7" s="84">
        <v>449573</v>
      </c>
      <c r="AI7" s="84">
        <v>3642</v>
      </c>
      <c r="AJ7" s="84">
        <f t="shared" si="11"/>
        <v>452731</v>
      </c>
      <c r="AK7" s="84">
        <v>456373</v>
      </c>
      <c r="AL7" s="84">
        <v>8498</v>
      </c>
      <c r="AM7" s="84">
        <f t="shared" si="12"/>
        <v>1211836</v>
      </c>
      <c r="AN7" s="84">
        <v>1220334</v>
      </c>
      <c r="AO7" s="84">
        <v>57</v>
      </c>
      <c r="AP7" s="84">
        <f t="shared" si="13"/>
        <v>16438</v>
      </c>
      <c r="AQ7" s="84">
        <v>16495</v>
      </c>
      <c r="AR7" s="84">
        <v>471</v>
      </c>
      <c r="AS7" s="84">
        <f t="shared" si="14"/>
        <v>53354</v>
      </c>
      <c r="AT7" s="84">
        <v>53825</v>
      </c>
      <c r="AU7" s="84">
        <v>1041</v>
      </c>
      <c r="AV7" s="84">
        <f t="shared" si="15"/>
        <v>22519</v>
      </c>
      <c r="AW7" s="84">
        <v>23560</v>
      </c>
      <c r="AX7" s="84"/>
      <c r="AY7" s="84">
        <f t="shared" si="16"/>
        <v>68668</v>
      </c>
      <c r="AZ7" s="103">
        <v>68668</v>
      </c>
      <c r="BA7" s="84"/>
      <c r="BB7" s="84">
        <f t="shared" si="17"/>
        <v>54876</v>
      </c>
      <c r="BC7" s="84">
        <v>54876</v>
      </c>
      <c r="BD7" s="102">
        <v>19784</v>
      </c>
      <c r="BE7" s="84">
        <f t="shared" si="18"/>
        <v>1175971.1839999999</v>
      </c>
      <c r="BF7" s="84">
        <v>1195755.1839999999</v>
      </c>
      <c r="BG7" s="84">
        <v>2</v>
      </c>
      <c r="BH7" s="84">
        <f t="shared" si="19"/>
        <v>2840</v>
      </c>
      <c r="BI7" s="84">
        <v>2842</v>
      </c>
      <c r="BJ7" s="84">
        <v>41</v>
      </c>
      <c r="BK7" s="84">
        <f t="shared" si="20"/>
        <v>6870</v>
      </c>
      <c r="BL7" s="84">
        <v>6911</v>
      </c>
      <c r="BM7" s="84">
        <v>2955</v>
      </c>
      <c r="BN7" s="84">
        <f t="shared" si="21"/>
        <v>484320</v>
      </c>
      <c r="BO7" s="84">
        <v>487275</v>
      </c>
      <c r="BP7" s="84"/>
      <c r="BQ7" s="84">
        <f t="shared" si="22"/>
        <v>116027</v>
      </c>
      <c r="BR7" s="84">
        <v>116027</v>
      </c>
      <c r="BS7" s="84">
        <v>900</v>
      </c>
      <c r="BT7" s="84">
        <f t="shared" si="23"/>
        <v>91000</v>
      </c>
      <c r="BU7" s="84">
        <v>91900</v>
      </c>
      <c r="BV7" s="84">
        <v>525</v>
      </c>
      <c r="BW7" s="84">
        <f t="shared" si="24"/>
        <v>311914</v>
      </c>
      <c r="BX7" s="84">
        <v>312439</v>
      </c>
      <c r="BY7" s="84">
        <v>2261</v>
      </c>
      <c r="BZ7" s="84">
        <f t="shared" si="25"/>
        <v>33979</v>
      </c>
      <c r="CA7" s="84">
        <v>36240</v>
      </c>
      <c r="CB7" s="84"/>
      <c r="CC7" s="84">
        <f t="shared" si="26"/>
        <v>319639</v>
      </c>
      <c r="CD7" s="84">
        <v>319639</v>
      </c>
      <c r="CE7" s="103">
        <v>2110</v>
      </c>
      <c r="CF7" s="84">
        <f t="shared" si="27"/>
        <v>349997</v>
      </c>
      <c r="CG7" s="103">
        <v>352107</v>
      </c>
      <c r="CH7" s="84">
        <v>19077</v>
      </c>
      <c r="CI7" s="84">
        <f t="shared" si="28"/>
        <v>1444646</v>
      </c>
      <c r="CJ7" s="84">
        <v>1463723</v>
      </c>
      <c r="CK7" s="103">
        <v>13507</v>
      </c>
      <c r="CL7" s="84">
        <f t="shared" si="29"/>
        <v>714369</v>
      </c>
      <c r="CM7" s="103">
        <v>727876</v>
      </c>
      <c r="CN7" s="103">
        <v>10633</v>
      </c>
      <c r="CO7" s="84">
        <f t="shared" si="30"/>
        <v>2022368</v>
      </c>
      <c r="CP7" s="103">
        <v>2033001</v>
      </c>
      <c r="CQ7" s="103">
        <v>929</v>
      </c>
      <c r="CR7" s="84">
        <f t="shared" si="31"/>
        <v>188196</v>
      </c>
      <c r="CS7" s="103">
        <v>189125</v>
      </c>
    </row>
    <row r="8" spans="1:97" x14ac:dyDescent="0.25">
      <c r="A8" s="84" t="s">
        <v>154</v>
      </c>
      <c r="B8" s="84"/>
      <c r="C8" s="84">
        <f t="shared" si="0"/>
        <v>493</v>
      </c>
      <c r="D8" s="84">
        <v>493</v>
      </c>
      <c r="E8" s="84"/>
      <c r="F8" s="84">
        <f t="shared" si="1"/>
        <v>2748</v>
      </c>
      <c r="G8" s="84">
        <v>2748</v>
      </c>
      <c r="H8" s="84"/>
      <c r="I8" s="84">
        <f t="shared" si="2"/>
        <v>3887</v>
      </c>
      <c r="J8" s="103">
        <v>3887</v>
      </c>
      <c r="K8" s="84">
        <v>541</v>
      </c>
      <c r="L8" s="84">
        <f t="shared" si="3"/>
        <v>14930</v>
      </c>
      <c r="M8" s="84">
        <v>15471</v>
      </c>
      <c r="N8" s="84"/>
      <c r="O8" s="84">
        <f t="shared" si="4"/>
        <v>0</v>
      </c>
      <c r="P8" s="84"/>
      <c r="Q8" s="84">
        <v>0</v>
      </c>
      <c r="R8" s="84">
        <f t="shared" si="5"/>
        <v>10802</v>
      </c>
      <c r="S8" s="84">
        <v>10802</v>
      </c>
      <c r="U8" s="84">
        <f t="shared" si="6"/>
        <v>379</v>
      </c>
      <c r="V8" s="84">
        <v>379</v>
      </c>
      <c r="W8" s="84"/>
      <c r="X8" s="84">
        <f t="shared" si="7"/>
        <v>467</v>
      </c>
      <c r="Y8" s="84">
        <v>467</v>
      </c>
      <c r="Z8" s="84">
        <v>69</v>
      </c>
      <c r="AA8" s="84">
        <f t="shared" si="8"/>
        <v>5278</v>
      </c>
      <c r="AB8" s="84">
        <v>5347</v>
      </c>
      <c r="AC8" s="84"/>
      <c r="AD8" s="84">
        <f t="shared" si="9"/>
        <v>0</v>
      </c>
      <c r="AE8" s="84"/>
      <c r="AF8" s="84">
        <v>539</v>
      </c>
      <c r="AG8" s="84">
        <f t="shared" si="10"/>
        <v>4845</v>
      </c>
      <c r="AH8" s="84">
        <v>5384</v>
      </c>
      <c r="AI8" s="84">
        <v>615</v>
      </c>
      <c r="AJ8" s="84">
        <f t="shared" si="11"/>
        <v>35404</v>
      </c>
      <c r="AK8" s="84">
        <v>36019</v>
      </c>
      <c r="AL8" s="84">
        <v>0</v>
      </c>
      <c r="AM8" s="84">
        <f t="shared" si="12"/>
        <v>45593</v>
      </c>
      <c r="AN8" s="84">
        <v>45593</v>
      </c>
      <c r="AO8" s="84">
        <v>7</v>
      </c>
      <c r="AP8" s="84">
        <f t="shared" si="13"/>
        <v>2381</v>
      </c>
      <c r="AQ8" s="84">
        <v>2388</v>
      </c>
      <c r="AR8" s="84">
        <v>6</v>
      </c>
      <c r="AS8" s="84">
        <f t="shared" si="14"/>
        <v>3473</v>
      </c>
      <c r="AT8" s="84">
        <v>3479</v>
      </c>
      <c r="AU8" s="84"/>
      <c r="AV8" s="84">
        <f t="shared" si="15"/>
        <v>1117</v>
      </c>
      <c r="AW8" s="84">
        <v>1117</v>
      </c>
      <c r="AX8" s="84"/>
      <c r="AY8" s="84">
        <f t="shared" si="16"/>
        <v>5452</v>
      </c>
      <c r="AZ8" s="103">
        <v>5452</v>
      </c>
      <c r="BA8" s="84"/>
      <c r="BB8" s="84">
        <f t="shared" si="17"/>
        <v>5898</v>
      </c>
      <c r="BC8" s="84">
        <v>5898</v>
      </c>
      <c r="BD8" s="102">
        <v>2540</v>
      </c>
      <c r="BE8" s="84">
        <f t="shared" si="18"/>
        <v>26241.200000000001</v>
      </c>
      <c r="BF8" s="84">
        <v>28781.200000000001</v>
      </c>
      <c r="BG8" s="84"/>
      <c r="BH8" s="84">
        <f t="shared" si="19"/>
        <v>15</v>
      </c>
      <c r="BI8" s="84">
        <v>15</v>
      </c>
      <c r="BJ8" s="84">
        <v>0</v>
      </c>
      <c r="BK8" s="84">
        <f t="shared" si="20"/>
        <v>244</v>
      </c>
      <c r="BL8" s="84">
        <v>244</v>
      </c>
      <c r="BM8" s="84">
        <v>50</v>
      </c>
      <c r="BN8" s="84">
        <f t="shared" si="21"/>
        <v>12049</v>
      </c>
      <c r="BO8" s="84">
        <v>12099</v>
      </c>
      <c r="BP8" s="84"/>
      <c r="BQ8" s="84">
        <f t="shared" si="22"/>
        <v>9181</v>
      </c>
      <c r="BR8" s="84">
        <v>9181</v>
      </c>
      <c r="BS8" s="84"/>
      <c r="BT8" s="84">
        <f t="shared" si="23"/>
        <v>2512</v>
      </c>
      <c r="BU8" s="84">
        <v>2512</v>
      </c>
      <c r="BV8" s="84">
        <v>6</v>
      </c>
      <c r="BW8" s="84">
        <f t="shared" si="24"/>
        <v>4475</v>
      </c>
      <c r="BX8" s="84">
        <v>4481</v>
      </c>
      <c r="BY8" s="84"/>
      <c r="BZ8" s="84">
        <f t="shared" si="25"/>
        <v>2315</v>
      </c>
      <c r="CA8" s="84">
        <v>2315</v>
      </c>
      <c r="CB8" s="84"/>
      <c r="CC8" s="84">
        <f t="shared" si="26"/>
        <v>39299</v>
      </c>
      <c r="CD8" s="84">
        <v>39299</v>
      </c>
      <c r="CE8" s="103"/>
      <c r="CF8" s="84">
        <f t="shared" si="27"/>
        <v>9580</v>
      </c>
      <c r="CG8" s="103">
        <v>9580</v>
      </c>
      <c r="CH8" s="84">
        <v>345</v>
      </c>
      <c r="CI8" s="84">
        <f t="shared" si="28"/>
        <v>7291</v>
      </c>
      <c r="CJ8" s="84">
        <v>7636</v>
      </c>
      <c r="CK8" s="103">
        <v>12</v>
      </c>
      <c r="CL8" s="84">
        <f t="shared" si="29"/>
        <v>966</v>
      </c>
      <c r="CM8" s="103">
        <v>978</v>
      </c>
      <c r="CN8" s="103">
        <v>4188</v>
      </c>
      <c r="CO8" s="84">
        <f t="shared" si="30"/>
        <v>-546</v>
      </c>
      <c r="CP8" s="103">
        <v>3642</v>
      </c>
      <c r="CQ8" s="103">
        <v>24</v>
      </c>
      <c r="CR8" s="84">
        <f t="shared" si="31"/>
        <v>9855</v>
      </c>
      <c r="CS8" s="103">
        <v>9879</v>
      </c>
    </row>
    <row r="9" spans="1:97" x14ac:dyDescent="0.25">
      <c r="A9" s="84" t="s">
        <v>155</v>
      </c>
      <c r="B9" s="84">
        <v>1</v>
      </c>
      <c r="C9" s="84">
        <f t="shared" si="0"/>
        <v>12168</v>
      </c>
      <c r="D9" s="84">
        <v>12169</v>
      </c>
      <c r="E9" s="84"/>
      <c r="F9" s="84">
        <f t="shared" si="1"/>
        <v>2109</v>
      </c>
      <c r="G9" s="84">
        <v>2109</v>
      </c>
      <c r="H9" s="84"/>
      <c r="I9" s="84">
        <f t="shared" si="2"/>
        <v>1098488</v>
      </c>
      <c r="J9" s="103">
        <v>1098488</v>
      </c>
      <c r="K9" s="84">
        <v>1869</v>
      </c>
      <c r="L9" s="84">
        <f t="shared" si="3"/>
        <v>52207</v>
      </c>
      <c r="M9" s="84">
        <v>54076</v>
      </c>
      <c r="N9" s="84"/>
      <c r="O9" s="84">
        <f t="shared" si="4"/>
        <v>0</v>
      </c>
      <c r="P9" s="84"/>
      <c r="Q9" s="84">
        <v>728</v>
      </c>
      <c r="R9" s="84">
        <f t="shared" si="5"/>
        <v>3343</v>
      </c>
      <c r="S9" s="84">
        <v>4071</v>
      </c>
      <c r="T9" s="84"/>
      <c r="U9" s="84">
        <f t="shared" si="6"/>
        <v>0</v>
      </c>
      <c r="V9" s="84">
        <v>0</v>
      </c>
      <c r="W9" s="84">
        <v>2</v>
      </c>
      <c r="X9" s="84">
        <f t="shared" si="7"/>
        <v>441</v>
      </c>
      <c r="Y9" s="84">
        <v>443</v>
      </c>
      <c r="Z9" s="84">
        <v>7</v>
      </c>
      <c r="AA9" s="84">
        <f t="shared" si="8"/>
        <v>2706</v>
      </c>
      <c r="AB9" s="84">
        <v>2713</v>
      </c>
      <c r="AC9" s="84"/>
      <c r="AD9" s="84">
        <f t="shared" si="9"/>
        <v>0</v>
      </c>
      <c r="AE9" s="84"/>
      <c r="AF9" s="84">
        <v>104</v>
      </c>
      <c r="AG9" s="84">
        <f t="shared" si="10"/>
        <v>34021</v>
      </c>
      <c r="AH9" s="84">
        <v>34125</v>
      </c>
      <c r="AI9" s="84">
        <v>708</v>
      </c>
      <c r="AJ9" s="84">
        <f t="shared" si="11"/>
        <v>30072</v>
      </c>
      <c r="AK9" s="84">
        <v>30780</v>
      </c>
      <c r="AL9" s="84">
        <v>341</v>
      </c>
      <c r="AM9" s="84">
        <f t="shared" si="12"/>
        <v>29467</v>
      </c>
      <c r="AN9" s="84">
        <v>29808</v>
      </c>
      <c r="AO9" s="84">
        <v>2</v>
      </c>
      <c r="AP9" s="84">
        <f t="shared" si="13"/>
        <v>928</v>
      </c>
      <c r="AQ9" s="84">
        <v>930</v>
      </c>
      <c r="AR9" s="84">
        <v>91</v>
      </c>
      <c r="AS9" s="84">
        <f t="shared" si="14"/>
        <v>2833</v>
      </c>
      <c r="AT9" s="84">
        <v>2924</v>
      </c>
      <c r="AU9" s="84">
        <v>175</v>
      </c>
      <c r="AV9" s="84">
        <f t="shared" si="15"/>
        <v>2687</v>
      </c>
      <c r="AW9" s="84">
        <v>2862</v>
      </c>
      <c r="AX9" s="84"/>
      <c r="AY9" s="84">
        <f t="shared" si="16"/>
        <v>2879</v>
      </c>
      <c r="AZ9" s="103">
        <v>2879</v>
      </c>
      <c r="BA9" s="84"/>
      <c r="BB9" s="84">
        <f t="shared" si="17"/>
        <v>0</v>
      </c>
      <c r="BC9" s="84"/>
      <c r="BD9" s="84"/>
      <c r="BE9" s="84">
        <f t="shared" si="18"/>
        <v>0</v>
      </c>
      <c r="BF9" s="84"/>
      <c r="BG9" s="84">
        <v>11</v>
      </c>
      <c r="BH9" s="84">
        <f t="shared" si="19"/>
        <v>376</v>
      </c>
      <c r="BI9" s="84">
        <v>387</v>
      </c>
      <c r="BJ9" s="84">
        <v>1</v>
      </c>
      <c r="BK9" s="84">
        <f t="shared" si="20"/>
        <v>67</v>
      </c>
      <c r="BL9" s="84">
        <v>68</v>
      </c>
      <c r="BM9" s="84">
        <v>1040</v>
      </c>
      <c r="BN9" s="84">
        <f t="shared" si="21"/>
        <v>106756</v>
      </c>
      <c r="BO9" s="84">
        <v>107796</v>
      </c>
      <c r="BP9" s="84"/>
      <c r="BQ9" s="84">
        <f t="shared" si="22"/>
        <v>0</v>
      </c>
      <c r="BR9" s="84"/>
      <c r="BS9" s="84">
        <v>195</v>
      </c>
      <c r="BT9" s="84">
        <f t="shared" si="23"/>
        <v>5710</v>
      </c>
      <c r="BU9" s="84">
        <v>5905</v>
      </c>
      <c r="BV9" s="84">
        <v>529</v>
      </c>
      <c r="BW9" s="84">
        <f t="shared" si="24"/>
        <v>41869</v>
      </c>
      <c r="BX9" s="84">
        <v>42398</v>
      </c>
      <c r="BY9" s="84">
        <v>480</v>
      </c>
      <c r="BZ9" s="84">
        <f t="shared" si="25"/>
        <v>3602</v>
      </c>
      <c r="CA9" s="84">
        <v>4082</v>
      </c>
      <c r="CB9" s="84"/>
      <c r="CC9" s="84">
        <f t="shared" si="26"/>
        <v>15537</v>
      </c>
      <c r="CD9" s="84">
        <v>15537</v>
      </c>
      <c r="CE9" s="103">
        <v>1417</v>
      </c>
      <c r="CF9" s="84">
        <f t="shared" si="27"/>
        <v>52238</v>
      </c>
      <c r="CG9" s="103">
        <v>53655</v>
      </c>
      <c r="CH9" s="84"/>
      <c r="CI9" s="84">
        <f t="shared" si="28"/>
        <v>0</v>
      </c>
      <c r="CJ9" s="84"/>
      <c r="CK9" s="84"/>
      <c r="CL9" s="84">
        <f t="shared" si="29"/>
        <v>0</v>
      </c>
      <c r="CM9" s="84"/>
      <c r="CN9" s="103">
        <v>270</v>
      </c>
      <c r="CO9" s="84">
        <f t="shared" si="30"/>
        <v>4312</v>
      </c>
      <c r="CP9" s="103">
        <v>4582</v>
      </c>
      <c r="CQ9" s="103">
        <v>370</v>
      </c>
      <c r="CR9" s="84">
        <f t="shared" si="31"/>
        <v>14125</v>
      </c>
      <c r="CS9" s="103">
        <v>14495</v>
      </c>
    </row>
    <row r="10" spans="1:97" x14ac:dyDescent="0.25">
      <c r="A10" s="84" t="s">
        <v>156</v>
      </c>
      <c r="B10" s="84">
        <v>456</v>
      </c>
      <c r="C10" s="84">
        <f t="shared" si="0"/>
        <v>4790</v>
      </c>
      <c r="D10" s="84">
        <v>5246</v>
      </c>
      <c r="E10" s="84"/>
      <c r="F10" s="84">
        <f t="shared" si="1"/>
        <v>6682</v>
      </c>
      <c r="G10" s="84">
        <v>6682</v>
      </c>
      <c r="H10" s="84"/>
      <c r="I10" s="84">
        <f t="shared" si="2"/>
        <v>3490149</v>
      </c>
      <c r="J10" s="103">
        <v>3490149</v>
      </c>
      <c r="K10" s="84">
        <v>54323</v>
      </c>
      <c r="L10" s="84">
        <f t="shared" si="3"/>
        <v>275818</v>
      </c>
      <c r="M10" s="84">
        <v>330141</v>
      </c>
      <c r="N10" s="84"/>
      <c r="O10" s="84">
        <f t="shared" si="4"/>
        <v>0</v>
      </c>
      <c r="P10" s="84"/>
      <c r="Q10" s="84">
        <v>31270</v>
      </c>
      <c r="R10" s="84">
        <f t="shared" si="5"/>
        <v>36615</v>
      </c>
      <c r="S10" s="84">
        <v>67885</v>
      </c>
      <c r="T10" s="84"/>
      <c r="U10" s="84">
        <f t="shared" si="6"/>
        <v>691</v>
      </c>
      <c r="V10" s="84">
        <v>691</v>
      </c>
      <c r="W10" s="84">
        <v>197</v>
      </c>
      <c r="X10" s="84">
        <f t="shared" si="7"/>
        <v>1636</v>
      </c>
      <c r="Y10" s="84">
        <v>1833</v>
      </c>
      <c r="Z10" s="84">
        <v>8755</v>
      </c>
      <c r="AA10" s="84">
        <f t="shared" si="8"/>
        <v>19004</v>
      </c>
      <c r="AB10" s="84">
        <v>27759</v>
      </c>
      <c r="AC10" s="84"/>
      <c r="AD10" s="84">
        <f t="shared" si="9"/>
        <v>0</v>
      </c>
      <c r="AE10" s="84"/>
      <c r="AF10" s="84">
        <v>35321</v>
      </c>
      <c r="AG10" s="84">
        <f t="shared" si="10"/>
        <v>88408</v>
      </c>
      <c r="AH10" s="84">
        <v>123729</v>
      </c>
      <c r="AI10" s="84">
        <v>50866</v>
      </c>
      <c r="AJ10" s="84">
        <f t="shared" si="11"/>
        <v>142480</v>
      </c>
      <c r="AK10" s="84">
        <v>193346</v>
      </c>
      <c r="AL10" s="84">
        <v>39559</v>
      </c>
      <c r="AM10" s="84">
        <f t="shared" si="12"/>
        <v>29001</v>
      </c>
      <c r="AN10" s="84">
        <v>68560</v>
      </c>
      <c r="AO10" s="84">
        <v>958</v>
      </c>
      <c r="AP10" s="84">
        <f t="shared" si="13"/>
        <v>3080</v>
      </c>
      <c r="AQ10" s="84">
        <v>4038</v>
      </c>
      <c r="AR10" s="84">
        <v>6873</v>
      </c>
      <c r="AS10" s="84">
        <f t="shared" si="14"/>
        <v>7004</v>
      </c>
      <c r="AT10" s="84">
        <v>13877</v>
      </c>
      <c r="AU10" s="84">
        <v>7065</v>
      </c>
      <c r="AV10" s="84">
        <f t="shared" si="15"/>
        <v>4695</v>
      </c>
      <c r="AW10" s="84">
        <v>11760</v>
      </c>
      <c r="AX10" s="84"/>
      <c r="AY10" s="84">
        <f t="shared" si="16"/>
        <v>4630</v>
      </c>
      <c r="AZ10" s="103">
        <v>4630</v>
      </c>
      <c r="BA10" s="84"/>
      <c r="BB10" s="84">
        <f t="shared" si="17"/>
        <v>3602</v>
      </c>
      <c r="BC10" s="84">
        <v>3602</v>
      </c>
      <c r="BD10" s="103">
        <v>160439</v>
      </c>
      <c r="BE10" s="84">
        <f t="shared" si="18"/>
        <v>422921</v>
      </c>
      <c r="BF10" s="84">
        <v>583360</v>
      </c>
      <c r="BG10" s="84">
        <v>252</v>
      </c>
      <c r="BH10" s="84">
        <f t="shared" si="19"/>
        <v>671</v>
      </c>
      <c r="BI10" s="84">
        <v>923</v>
      </c>
      <c r="BJ10" s="84">
        <v>681</v>
      </c>
      <c r="BK10" s="84">
        <f t="shared" si="20"/>
        <v>2988</v>
      </c>
      <c r="BL10" s="84">
        <v>3669</v>
      </c>
      <c r="BM10" s="84">
        <v>57899</v>
      </c>
      <c r="BN10" s="84">
        <f t="shared" si="21"/>
        <v>225794</v>
      </c>
      <c r="BO10" s="84">
        <v>283693</v>
      </c>
      <c r="BP10" s="84"/>
      <c r="BQ10" s="84">
        <f t="shared" si="22"/>
        <v>15097</v>
      </c>
      <c r="BR10" s="84">
        <v>15097</v>
      </c>
      <c r="BS10" s="84">
        <v>22673</v>
      </c>
      <c r="BT10" s="84">
        <f t="shared" si="23"/>
        <v>14748</v>
      </c>
      <c r="BU10" s="84">
        <v>37421</v>
      </c>
      <c r="BV10" s="84">
        <v>9373</v>
      </c>
      <c r="BW10" s="84">
        <f t="shared" si="24"/>
        <v>34212</v>
      </c>
      <c r="BX10" s="84">
        <v>43585</v>
      </c>
      <c r="BY10" s="84">
        <v>43185</v>
      </c>
      <c r="BZ10" s="84">
        <f t="shared" si="25"/>
        <v>10548</v>
      </c>
      <c r="CA10" s="84">
        <v>53733</v>
      </c>
      <c r="CB10" s="84"/>
      <c r="CC10" s="84">
        <f t="shared" si="26"/>
        <v>93504</v>
      </c>
      <c r="CD10" s="84">
        <v>93504</v>
      </c>
      <c r="CE10" s="103">
        <v>23538</v>
      </c>
      <c r="CF10" s="84">
        <f t="shared" si="27"/>
        <v>37347</v>
      </c>
      <c r="CG10" s="103">
        <v>60885</v>
      </c>
      <c r="CH10" s="84">
        <v>164046</v>
      </c>
      <c r="CI10" s="84">
        <f t="shared" si="28"/>
        <v>209550</v>
      </c>
      <c r="CJ10" s="84">
        <v>373596</v>
      </c>
      <c r="CK10" s="103">
        <v>94467</v>
      </c>
      <c r="CL10" s="84">
        <f t="shared" si="29"/>
        <v>258633</v>
      </c>
      <c r="CM10" s="103">
        <v>353100</v>
      </c>
      <c r="CN10" s="103">
        <v>170689</v>
      </c>
      <c r="CO10" s="84">
        <f t="shared" si="30"/>
        <v>486129</v>
      </c>
      <c r="CP10" s="103">
        <v>656818</v>
      </c>
      <c r="CQ10" s="103">
        <v>9554</v>
      </c>
      <c r="CR10" s="84">
        <f t="shared" si="31"/>
        <v>14920</v>
      </c>
      <c r="CS10" s="103">
        <v>24474</v>
      </c>
    </row>
    <row r="11" spans="1:97" x14ac:dyDescent="0.25">
      <c r="A11" s="84" t="s">
        <v>157</v>
      </c>
      <c r="B11" s="84">
        <v>148</v>
      </c>
      <c r="C11" s="84">
        <f t="shared" si="0"/>
        <v>4339</v>
      </c>
      <c r="D11" s="84">
        <v>4487</v>
      </c>
      <c r="E11" s="84"/>
      <c r="F11" s="84">
        <f t="shared" si="1"/>
        <v>6679</v>
      </c>
      <c r="G11" s="84">
        <v>6679</v>
      </c>
      <c r="H11" s="84"/>
      <c r="I11" s="84">
        <f t="shared" si="2"/>
        <v>1203700</v>
      </c>
      <c r="J11" s="103">
        <v>1203700</v>
      </c>
      <c r="K11" s="84">
        <v>5214</v>
      </c>
      <c r="L11" s="84">
        <f t="shared" si="3"/>
        <v>184706</v>
      </c>
      <c r="M11" s="84">
        <v>189920</v>
      </c>
      <c r="N11" s="84"/>
      <c r="O11" s="84">
        <f t="shared" si="4"/>
        <v>0</v>
      </c>
      <c r="P11" s="84"/>
      <c r="Q11" s="84">
        <v>4856</v>
      </c>
      <c r="R11" s="84">
        <f t="shared" si="5"/>
        <v>19369</v>
      </c>
      <c r="S11" s="84">
        <v>24225</v>
      </c>
      <c r="T11" s="84"/>
      <c r="U11" s="84">
        <f t="shared" si="6"/>
        <v>278</v>
      </c>
      <c r="V11" s="84">
        <v>278</v>
      </c>
      <c r="W11" s="84">
        <v>48</v>
      </c>
      <c r="X11" s="84">
        <f t="shared" si="7"/>
        <v>1451</v>
      </c>
      <c r="Y11" s="84">
        <v>1499</v>
      </c>
      <c r="Z11" s="84">
        <v>1058</v>
      </c>
      <c r="AA11" s="84">
        <f t="shared" si="8"/>
        <v>13874</v>
      </c>
      <c r="AB11" s="84">
        <v>14932</v>
      </c>
      <c r="AC11" s="84"/>
      <c r="AD11" s="84">
        <f t="shared" si="9"/>
        <v>0</v>
      </c>
      <c r="AE11" s="84"/>
      <c r="AF11" s="84">
        <v>3741</v>
      </c>
      <c r="AG11" s="84">
        <f t="shared" si="10"/>
        <v>70897</v>
      </c>
      <c r="AH11" s="84">
        <v>74638</v>
      </c>
      <c r="AI11" s="84">
        <v>5807</v>
      </c>
      <c r="AJ11" s="84">
        <f t="shared" si="11"/>
        <v>129262</v>
      </c>
      <c r="AK11" s="84">
        <v>135069</v>
      </c>
      <c r="AL11" s="84">
        <v>4343</v>
      </c>
      <c r="AM11" s="84">
        <f t="shared" si="12"/>
        <v>23872</v>
      </c>
      <c r="AN11" s="84">
        <v>28215</v>
      </c>
      <c r="AO11" s="84">
        <v>184</v>
      </c>
      <c r="AP11" s="84">
        <f t="shared" si="13"/>
        <v>2632</v>
      </c>
      <c r="AQ11" s="84">
        <v>2816</v>
      </c>
      <c r="AR11" s="84">
        <v>754</v>
      </c>
      <c r="AS11" s="84">
        <f t="shared" si="14"/>
        <v>5260</v>
      </c>
      <c r="AT11" s="84">
        <v>6014</v>
      </c>
      <c r="AU11" s="84">
        <v>675</v>
      </c>
      <c r="AV11" s="84">
        <f t="shared" si="15"/>
        <v>3889</v>
      </c>
      <c r="AW11" s="84">
        <v>4564</v>
      </c>
      <c r="AX11" s="84"/>
      <c r="AY11" s="84">
        <f t="shared" si="16"/>
        <v>4563</v>
      </c>
      <c r="AZ11" s="103">
        <v>4563</v>
      </c>
      <c r="BA11" s="84"/>
      <c r="BB11" s="84">
        <f t="shared" si="17"/>
        <v>3592</v>
      </c>
      <c r="BC11" s="84">
        <v>3592</v>
      </c>
      <c r="BD11" s="84">
        <v>8029</v>
      </c>
      <c r="BE11" s="84">
        <f t="shared" si="18"/>
        <v>193788</v>
      </c>
      <c r="BF11" s="84">
        <v>201817</v>
      </c>
      <c r="BG11" s="84">
        <v>80</v>
      </c>
      <c r="BH11" s="84">
        <f t="shared" si="19"/>
        <v>580</v>
      </c>
      <c r="BI11" s="84">
        <v>660</v>
      </c>
      <c r="BJ11" s="84">
        <v>346</v>
      </c>
      <c r="BK11" s="84">
        <f t="shared" si="20"/>
        <v>2881</v>
      </c>
      <c r="BL11" s="84">
        <v>3227</v>
      </c>
      <c r="BM11" s="84">
        <v>3451</v>
      </c>
      <c r="BN11" s="84">
        <f t="shared" si="21"/>
        <v>203891</v>
      </c>
      <c r="BO11" s="84">
        <v>207342</v>
      </c>
      <c r="BP11" s="84"/>
      <c r="BQ11" s="84">
        <f t="shared" si="22"/>
        <v>13510</v>
      </c>
      <c r="BR11" s="84">
        <v>13510</v>
      </c>
      <c r="BS11" s="84">
        <v>2155</v>
      </c>
      <c r="BT11" s="84">
        <f t="shared" si="23"/>
        <v>9207</v>
      </c>
      <c r="BU11" s="84">
        <v>11362</v>
      </c>
      <c r="BV11" s="84">
        <v>1712</v>
      </c>
      <c r="BW11" s="84">
        <f t="shared" si="24"/>
        <v>23714</v>
      </c>
      <c r="BX11" s="84">
        <v>25426</v>
      </c>
      <c r="BY11" s="84">
        <v>2722</v>
      </c>
      <c r="BZ11" s="84">
        <f t="shared" si="25"/>
        <v>6592</v>
      </c>
      <c r="CA11" s="84">
        <v>9314</v>
      </c>
      <c r="CB11" s="84"/>
      <c r="CC11" s="84">
        <f t="shared" si="26"/>
        <v>82459</v>
      </c>
      <c r="CD11" s="84">
        <v>82459</v>
      </c>
      <c r="CE11" s="103">
        <v>2825</v>
      </c>
      <c r="CF11" s="84">
        <f t="shared" si="27"/>
        <v>28892</v>
      </c>
      <c r="CG11" s="103">
        <v>31717</v>
      </c>
      <c r="CH11" s="84">
        <v>11424</v>
      </c>
      <c r="CI11" s="84">
        <f t="shared" si="28"/>
        <v>171712</v>
      </c>
      <c r="CJ11" s="84">
        <v>183136</v>
      </c>
      <c r="CK11" s="103">
        <v>10982</v>
      </c>
      <c r="CL11" s="84">
        <f t="shared" si="29"/>
        <v>236210</v>
      </c>
      <c r="CM11" s="103">
        <v>247192</v>
      </c>
      <c r="CN11" s="103">
        <v>12614</v>
      </c>
      <c r="CO11" s="84">
        <f t="shared" si="30"/>
        <v>299195</v>
      </c>
      <c r="CP11" s="103">
        <v>311809</v>
      </c>
      <c r="CQ11" s="103">
        <v>1157</v>
      </c>
      <c r="CR11" s="84">
        <f t="shared" si="31"/>
        <v>11004</v>
      </c>
      <c r="CS11" s="103">
        <v>12161</v>
      </c>
    </row>
    <row r="12" spans="1:97" x14ac:dyDescent="0.25">
      <c r="A12" s="84" t="s">
        <v>158</v>
      </c>
      <c r="B12" s="84">
        <v>103</v>
      </c>
      <c r="C12" s="84">
        <f t="shared" si="0"/>
        <v>195</v>
      </c>
      <c r="D12" s="84">
        <v>298</v>
      </c>
      <c r="E12" s="84"/>
      <c r="F12" s="84">
        <f t="shared" si="1"/>
        <v>1</v>
      </c>
      <c r="G12" s="84">
        <v>1</v>
      </c>
      <c r="H12" s="84"/>
      <c r="I12" s="84">
        <f t="shared" si="2"/>
        <v>273833</v>
      </c>
      <c r="J12" s="103">
        <v>273833</v>
      </c>
      <c r="K12" s="84">
        <v>3009</v>
      </c>
      <c r="L12" s="84">
        <f t="shared" si="3"/>
        <v>15341</v>
      </c>
      <c r="M12" s="84">
        <v>18350</v>
      </c>
      <c r="N12" s="84"/>
      <c r="O12" s="84">
        <f t="shared" si="4"/>
        <v>0</v>
      </c>
      <c r="P12" s="84"/>
      <c r="Q12" s="84">
        <v>2312</v>
      </c>
      <c r="R12" s="84">
        <f t="shared" si="5"/>
        <v>2419</v>
      </c>
      <c r="S12" s="84">
        <v>4731</v>
      </c>
      <c r="T12" s="84"/>
      <c r="U12" s="84">
        <f t="shared" si="6"/>
        <v>143</v>
      </c>
      <c r="V12" s="84">
        <v>143</v>
      </c>
      <c r="W12" s="84">
        <v>21</v>
      </c>
      <c r="X12" s="84">
        <f t="shared" si="7"/>
        <v>129</v>
      </c>
      <c r="Y12" s="84">
        <v>150</v>
      </c>
      <c r="Z12" s="84">
        <v>545</v>
      </c>
      <c r="AA12" s="84">
        <f t="shared" si="8"/>
        <v>1411</v>
      </c>
      <c r="AB12" s="84">
        <v>1956</v>
      </c>
      <c r="AC12" s="84"/>
      <c r="AD12" s="84">
        <f t="shared" si="9"/>
        <v>0</v>
      </c>
      <c r="AE12" s="84"/>
      <c r="AF12" s="84">
        <v>2332</v>
      </c>
      <c r="AG12" s="84">
        <f t="shared" si="10"/>
        <v>6946</v>
      </c>
      <c r="AH12" s="84">
        <v>9278</v>
      </c>
      <c r="AI12" s="84">
        <v>3086</v>
      </c>
      <c r="AJ12" s="84">
        <f t="shared" si="11"/>
        <v>4266</v>
      </c>
      <c r="AK12" s="84">
        <v>7352</v>
      </c>
      <c r="AL12" s="84">
        <v>2641</v>
      </c>
      <c r="AM12" s="84">
        <f t="shared" si="12"/>
        <v>3137</v>
      </c>
      <c r="AN12" s="84">
        <v>5778</v>
      </c>
      <c r="AO12" s="84">
        <v>97</v>
      </c>
      <c r="AP12" s="84">
        <f t="shared" si="13"/>
        <v>211</v>
      </c>
      <c r="AQ12" s="84">
        <v>308</v>
      </c>
      <c r="AR12" s="84">
        <v>875</v>
      </c>
      <c r="AS12" s="84">
        <f t="shared" si="14"/>
        <v>540</v>
      </c>
      <c r="AT12" s="84">
        <v>1415</v>
      </c>
      <c r="AU12" s="84">
        <v>606</v>
      </c>
      <c r="AV12" s="84">
        <f t="shared" si="15"/>
        <v>300</v>
      </c>
      <c r="AW12" s="84">
        <v>906</v>
      </c>
      <c r="AX12" s="84"/>
      <c r="AY12" s="84">
        <f t="shared" si="16"/>
        <v>59</v>
      </c>
      <c r="AZ12" s="103">
        <v>59</v>
      </c>
      <c r="BA12" s="84"/>
      <c r="BB12" s="84">
        <f t="shared" si="17"/>
        <v>10</v>
      </c>
      <c r="BC12" s="84">
        <v>10</v>
      </c>
      <c r="BD12" s="84">
        <v>8663</v>
      </c>
      <c r="BE12" s="84">
        <f t="shared" si="18"/>
        <v>21076</v>
      </c>
      <c r="BF12" s="84">
        <v>29739</v>
      </c>
      <c r="BG12" s="84">
        <v>14</v>
      </c>
      <c r="BH12" s="84">
        <f t="shared" si="19"/>
        <v>53</v>
      </c>
      <c r="BI12" s="84">
        <v>67</v>
      </c>
      <c r="BJ12" s="84">
        <v>43</v>
      </c>
      <c r="BK12" s="84">
        <f t="shared" si="20"/>
        <v>25</v>
      </c>
      <c r="BL12" s="84">
        <v>68</v>
      </c>
      <c r="BM12" s="84">
        <v>2256</v>
      </c>
      <c r="BN12" s="84">
        <f t="shared" si="21"/>
        <v>5313</v>
      </c>
      <c r="BO12" s="84">
        <v>7569</v>
      </c>
      <c r="BP12" s="84"/>
      <c r="BQ12" s="84">
        <f t="shared" si="22"/>
        <v>1587</v>
      </c>
      <c r="BR12" s="84">
        <v>1587</v>
      </c>
      <c r="BS12" s="84">
        <v>1422</v>
      </c>
      <c r="BT12" s="84">
        <f t="shared" si="23"/>
        <v>1401</v>
      </c>
      <c r="BU12" s="84">
        <v>2823</v>
      </c>
      <c r="BV12" s="84">
        <v>1265</v>
      </c>
      <c r="BW12" s="84">
        <f t="shared" si="24"/>
        <v>6128</v>
      </c>
      <c r="BX12" s="84">
        <v>7393</v>
      </c>
      <c r="BY12" s="84">
        <v>2112</v>
      </c>
      <c r="BZ12" s="84">
        <f t="shared" si="25"/>
        <v>849</v>
      </c>
      <c r="CA12" s="84">
        <v>2961</v>
      </c>
      <c r="CB12" s="84"/>
      <c r="CC12" s="84">
        <f t="shared" si="26"/>
        <v>6638</v>
      </c>
      <c r="CD12" s="84">
        <v>6638</v>
      </c>
      <c r="CE12" s="103">
        <v>1779</v>
      </c>
      <c r="CF12" s="84">
        <f t="shared" si="27"/>
        <v>2935</v>
      </c>
      <c r="CG12" s="103">
        <v>4714</v>
      </c>
      <c r="CH12" s="84">
        <v>7815</v>
      </c>
      <c r="CI12" s="84">
        <f t="shared" si="28"/>
        <v>10911</v>
      </c>
      <c r="CJ12" s="84">
        <v>18726</v>
      </c>
      <c r="CK12" s="103">
        <v>5577</v>
      </c>
      <c r="CL12" s="84">
        <f t="shared" si="29"/>
        <v>9211</v>
      </c>
      <c r="CM12" s="103">
        <v>14788</v>
      </c>
      <c r="CN12" s="103">
        <v>8332</v>
      </c>
      <c r="CO12" s="84">
        <f t="shared" si="30"/>
        <v>36428</v>
      </c>
      <c r="CP12" s="103">
        <v>44760</v>
      </c>
      <c r="CQ12" s="103">
        <v>660</v>
      </c>
      <c r="CR12" s="84">
        <f t="shared" si="31"/>
        <v>1863</v>
      </c>
      <c r="CS12" s="103">
        <v>2523</v>
      </c>
    </row>
    <row r="13" spans="1:97" x14ac:dyDescent="0.25">
      <c r="A13" s="84" t="s">
        <v>159</v>
      </c>
      <c r="B13" s="84">
        <v>68</v>
      </c>
      <c r="C13" s="84">
        <f t="shared" si="0"/>
        <v>114</v>
      </c>
      <c r="D13" s="84">
        <v>182</v>
      </c>
      <c r="E13" s="84"/>
      <c r="F13" s="84">
        <f t="shared" si="1"/>
        <v>2</v>
      </c>
      <c r="G13" s="84">
        <v>2</v>
      </c>
      <c r="H13" s="84"/>
      <c r="I13" s="84">
        <f t="shared" si="2"/>
        <v>146160</v>
      </c>
      <c r="J13" s="103">
        <v>146160</v>
      </c>
      <c r="K13" s="84">
        <v>2793</v>
      </c>
      <c r="L13" s="84">
        <f t="shared" si="3"/>
        <v>49551</v>
      </c>
      <c r="M13" s="84">
        <v>52344</v>
      </c>
      <c r="N13" s="84"/>
      <c r="O13" s="84">
        <f t="shared" si="4"/>
        <v>0</v>
      </c>
      <c r="P13" s="84"/>
      <c r="Q13" s="84">
        <v>1575</v>
      </c>
      <c r="R13" s="84">
        <f t="shared" si="5"/>
        <v>1014</v>
      </c>
      <c r="S13" s="84">
        <v>2589</v>
      </c>
      <c r="T13" s="84"/>
      <c r="U13" s="84">
        <f t="shared" si="6"/>
        <v>160</v>
      </c>
      <c r="V13" s="84">
        <v>160</v>
      </c>
      <c r="W13" s="84">
        <v>22</v>
      </c>
      <c r="X13" s="84">
        <f t="shared" si="7"/>
        <v>46</v>
      </c>
      <c r="Y13" s="84">
        <v>68</v>
      </c>
      <c r="Z13" s="84">
        <v>411</v>
      </c>
      <c r="AA13" s="84">
        <f t="shared" si="8"/>
        <v>1155</v>
      </c>
      <c r="AB13" s="84">
        <v>1566</v>
      </c>
      <c r="AC13" s="84"/>
      <c r="AD13" s="84">
        <f t="shared" si="9"/>
        <v>0</v>
      </c>
      <c r="AE13" s="84"/>
      <c r="AF13" s="84">
        <v>1812</v>
      </c>
      <c r="AG13" s="84">
        <f t="shared" si="10"/>
        <v>7157</v>
      </c>
      <c r="AH13" s="84">
        <v>8969</v>
      </c>
      <c r="AI13" s="84">
        <v>2593</v>
      </c>
      <c r="AJ13" s="84">
        <f t="shared" si="11"/>
        <v>2231</v>
      </c>
      <c r="AK13" s="84">
        <v>4824</v>
      </c>
      <c r="AL13" s="84">
        <v>2181</v>
      </c>
      <c r="AM13" s="84">
        <f t="shared" si="12"/>
        <v>933</v>
      </c>
      <c r="AN13" s="84">
        <v>3114</v>
      </c>
      <c r="AO13" s="84">
        <v>75</v>
      </c>
      <c r="AP13" s="84">
        <f t="shared" si="13"/>
        <v>124</v>
      </c>
      <c r="AQ13" s="84">
        <v>199</v>
      </c>
      <c r="AR13" s="84">
        <v>1348</v>
      </c>
      <c r="AS13" s="84">
        <f t="shared" si="14"/>
        <v>365</v>
      </c>
      <c r="AT13" s="84">
        <v>1713</v>
      </c>
      <c r="AU13" s="84">
        <v>677</v>
      </c>
      <c r="AV13" s="84">
        <f t="shared" si="15"/>
        <v>79</v>
      </c>
      <c r="AW13" s="84">
        <v>756</v>
      </c>
      <c r="AX13" s="84"/>
      <c r="AY13" s="84">
        <f t="shared" si="16"/>
        <v>7</v>
      </c>
      <c r="AZ13" s="103">
        <v>7</v>
      </c>
      <c r="BA13" s="84"/>
      <c r="BB13" s="84">
        <f t="shared" si="17"/>
        <v>0</v>
      </c>
      <c r="BC13" s="84"/>
      <c r="BD13" s="84">
        <v>8306</v>
      </c>
      <c r="BE13" s="84">
        <f t="shared" si="18"/>
        <v>9780</v>
      </c>
      <c r="BF13" s="84">
        <v>18086</v>
      </c>
      <c r="BG13" s="84">
        <v>50</v>
      </c>
      <c r="BH13" s="84">
        <f t="shared" si="19"/>
        <v>28</v>
      </c>
      <c r="BI13" s="84">
        <v>78</v>
      </c>
      <c r="BJ13" s="84">
        <v>136</v>
      </c>
      <c r="BK13" s="84">
        <f t="shared" si="20"/>
        <v>37</v>
      </c>
      <c r="BL13" s="84">
        <v>173</v>
      </c>
      <c r="BM13" s="84">
        <v>1733</v>
      </c>
      <c r="BN13" s="84">
        <f t="shared" si="21"/>
        <v>3777</v>
      </c>
      <c r="BO13" s="84">
        <v>5510</v>
      </c>
      <c r="BP13" s="84"/>
      <c r="BQ13" s="84">
        <f t="shared" si="22"/>
        <v>0</v>
      </c>
      <c r="BR13" s="84"/>
      <c r="BS13" s="84">
        <v>1125</v>
      </c>
      <c r="BT13" s="84">
        <f t="shared" si="23"/>
        <v>1410</v>
      </c>
      <c r="BU13" s="84">
        <v>2535</v>
      </c>
      <c r="BV13" s="84">
        <v>778</v>
      </c>
      <c r="BW13" s="84">
        <f t="shared" si="24"/>
        <v>655</v>
      </c>
      <c r="BX13" s="84">
        <v>1433</v>
      </c>
      <c r="BY13" s="84">
        <v>2154</v>
      </c>
      <c r="BZ13" s="84">
        <f t="shared" si="25"/>
        <v>250</v>
      </c>
      <c r="CA13" s="84">
        <v>2404</v>
      </c>
      <c r="CB13" s="84"/>
      <c r="CC13" s="84">
        <f t="shared" si="26"/>
        <v>4103</v>
      </c>
      <c r="CD13" s="84">
        <v>4103</v>
      </c>
      <c r="CE13" s="103">
        <v>2006</v>
      </c>
      <c r="CF13" s="84">
        <f t="shared" si="27"/>
        <v>2029</v>
      </c>
      <c r="CG13" s="103">
        <v>4035</v>
      </c>
      <c r="CH13" s="84">
        <v>7460</v>
      </c>
      <c r="CI13" s="84">
        <f t="shared" si="28"/>
        <v>6708</v>
      </c>
      <c r="CJ13" s="84">
        <v>14168</v>
      </c>
      <c r="CK13" s="103">
        <v>11829</v>
      </c>
      <c r="CL13" s="84">
        <f t="shared" si="29"/>
        <v>5697</v>
      </c>
      <c r="CM13" s="103">
        <v>17526</v>
      </c>
      <c r="CN13" s="103">
        <v>13108</v>
      </c>
      <c r="CO13" s="84">
        <f t="shared" si="30"/>
        <v>17664</v>
      </c>
      <c r="CP13" s="103">
        <v>30772</v>
      </c>
      <c r="CQ13" s="103">
        <v>841</v>
      </c>
      <c r="CR13" s="84">
        <f t="shared" si="31"/>
        <v>1341</v>
      </c>
      <c r="CS13" s="103">
        <v>2182</v>
      </c>
    </row>
    <row r="14" spans="1:97" x14ac:dyDescent="0.25">
      <c r="A14" s="84" t="s">
        <v>160</v>
      </c>
      <c r="B14" s="84">
        <v>137</v>
      </c>
      <c r="C14" s="84">
        <f t="shared" si="0"/>
        <v>142</v>
      </c>
      <c r="D14" s="84">
        <v>279</v>
      </c>
      <c r="E14" s="84"/>
      <c r="F14" s="84">
        <f t="shared" si="1"/>
        <v>0</v>
      </c>
      <c r="G14" s="84"/>
      <c r="H14" s="84"/>
      <c r="I14" s="84">
        <f t="shared" si="2"/>
        <v>1866456</v>
      </c>
      <c r="J14" s="103">
        <v>1866456</v>
      </c>
      <c r="K14" s="84">
        <v>43307</v>
      </c>
      <c r="L14" s="84">
        <f t="shared" si="3"/>
        <v>26220</v>
      </c>
      <c r="M14" s="84">
        <v>69527</v>
      </c>
      <c r="N14" s="84"/>
      <c r="O14" s="84">
        <f t="shared" si="4"/>
        <v>0</v>
      </c>
      <c r="P14" s="84"/>
      <c r="Q14" s="84">
        <v>22527</v>
      </c>
      <c r="R14" s="84">
        <f t="shared" si="5"/>
        <v>13813</v>
      </c>
      <c r="S14" s="84">
        <v>36340</v>
      </c>
      <c r="T14" s="84"/>
      <c r="U14" s="84">
        <f t="shared" si="6"/>
        <v>110</v>
      </c>
      <c r="V14" s="84">
        <v>110</v>
      </c>
      <c r="W14" s="84">
        <v>106</v>
      </c>
      <c r="X14" s="84">
        <f t="shared" si="7"/>
        <v>10</v>
      </c>
      <c r="Y14" s="84">
        <v>116</v>
      </c>
      <c r="Z14" s="84">
        <v>6741</v>
      </c>
      <c r="AA14" s="84">
        <f t="shared" si="8"/>
        <v>2564</v>
      </c>
      <c r="AB14" s="84">
        <v>9305</v>
      </c>
      <c r="AC14" s="84"/>
      <c r="AD14" s="84">
        <f t="shared" si="9"/>
        <v>0</v>
      </c>
      <c r="AE14" s="84"/>
      <c r="AF14" s="84">
        <v>27436</v>
      </c>
      <c r="AG14" s="84">
        <f t="shared" si="10"/>
        <v>3408</v>
      </c>
      <c r="AH14" s="84">
        <v>30844</v>
      </c>
      <c r="AI14" s="84">
        <v>39380</v>
      </c>
      <c r="AJ14" s="84">
        <f t="shared" si="11"/>
        <v>6721</v>
      </c>
      <c r="AK14" s="84">
        <v>46101</v>
      </c>
      <c r="AL14" s="84">
        <v>30394</v>
      </c>
      <c r="AM14" s="84">
        <f t="shared" si="12"/>
        <v>1059</v>
      </c>
      <c r="AN14" s="84">
        <v>31453</v>
      </c>
      <c r="AO14" s="84">
        <v>602</v>
      </c>
      <c r="AP14" s="84">
        <f t="shared" si="13"/>
        <v>113</v>
      </c>
      <c r="AQ14" s="84">
        <v>715</v>
      </c>
      <c r="AR14" s="84">
        <v>3896</v>
      </c>
      <c r="AS14" s="84">
        <f t="shared" si="14"/>
        <v>839</v>
      </c>
      <c r="AT14" s="84">
        <v>4735</v>
      </c>
      <c r="AU14" s="84">
        <v>5107</v>
      </c>
      <c r="AV14" s="84">
        <f t="shared" si="15"/>
        <v>427</v>
      </c>
      <c r="AW14" s="84">
        <v>5534</v>
      </c>
      <c r="AX14" s="84"/>
      <c r="AY14" s="84">
        <f t="shared" si="16"/>
        <v>1</v>
      </c>
      <c r="AZ14" s="103">
        <v>1</v>
      </c>
      <c r="BA14" s="84"/>
      <c r="BB14" s="84">
        <f t="shared" si="17"/>
        <v>0</v>
      </c>
      <c r="BC14" s="84"/>
      <c r="BD14" s="84">
        <v>135442</v>
      </c>
      <c r="BE14" s="84">
        <f t="shared" si="18"/>
        <v>198276</v>
      </c>
      <c r="BF14" s="84">
        <v>333718</v>
      </c>
      <c r="BG14" s="84">
        <v>108</v>
      </c>
      <c r="BH14" s="84">
        <f t="shared" si="19"/>
        <v>10</v>
      </c>
      <c r="BI14" s="84">
        <v>118</v>
      </c>
      <c r="BJ14" s="84">
        <v>156</v>
      </c>
      <c r="BK14" s="84">
        <f t="shared" si="20"/>
        <v>45</v>
      </c>
      <c r="BL14" s="84">
        <v>201</v>
      </c>
      <c r="BM14" s="84">
        <v>50459</v>
      </c>
      <c r="BN14" s="84">
        <f t="shared" si="21"/>
        <v>12813</v>
      </c>
      <c r="BO14" s="84">
        <v>63272</v>
      </c>
      <c r="BP14" s="84"/>
      <c r="BQ14" s="84">
        <f t="shared" si="22"/>
        <v>0</v>
      </c>
      <c r="BR14" s="84"/>
      <c r="BS14" s="84">
        <v>17971</v>
      </c>
      <c r="BT14" s="84">
        <f t="shared" si="23"/>
        <v>2730</v>
      </c>
      <c r="BU14" s="84">
        <v>20701</v>
      </c>
      <c r="BV14" s="84">
        <f>2772+2846</f>
        <v>5618</v>
      </c>
      <c r="BW14" s="84">
        <f t="shared" si="24"/>
        <v>3715</v>
      </c>
      <c r="BX14" s="84">
        <f>4027+5306</f>
        <v>9333</v>
      </c>
      <c r="BY14" s="84">
        <v>36197</v>
      </c>
      <c r="BZ14" s="84">
        <f t="shared" si="25"/>
        <v>2857</v>
      </c>
      <c r="CA14" s="84">
        <v>39054</v>
      </c>
      <c r="CB14" s="84"/>
      <c r="CC14" s="84">
        <f t="shared" si="26"/>
        <v>304</v>
      </c>
      <c r="CD14" s="84">
        <v>304</v>
      </c>
      <c r="CE14" s="103">
        <v>16928</v>
      </c>
      <c r="CF14" s="84">
        <f t="shared" si="27"/>
        <v>3491</v>
      </c>
      <c r="CG14" s="103">
        <v>20419</v>
      </c>
      <c r="CH14" s="84">
        <v>137347</v>
      </c>
      <c r="CI14" s="84">
        <f t="shared" si="28"/>
        <v>20219</v>
      </c>
      <c r="CJ14" s="84">
        <v>157566</v>
      </c>
      <c r="CK14" s="103">
        <v>66079</v>
      </c>
      <c r="CL14" s="84">
        <f t="shared" si="29"/>
        <v>7515</v>
      </c>
      <c r="CM14" s="103">
        <v>73594</v>
      </c>
      <c r="CN14" s="103">
        <v>136635</v>
      </c>
      <c r="CO14" s="84">
        <f t="shared" si="30"/>
        <v>132842</v>
      </c>
      <c r="CP14" s="103">
        <v>269477</v>
      </c>
      <c r="CQ14" s="103">
        <v>6896</v>
      </c>
      <c r="CR14" s="84">
        <f t="shared" si="31"/>
        <v>712</v>
      </c>
      <c r="CS14" s="103">
        <v>7608</v>
      </c>
    </row>
  </sheetData>
  <mergeCells count="32">
    <mergeCell ref="CN3:CP3"/>
    <mergeCell ref="CQ3:CS3"/>
    <mergeCell ref="BS3:BU3"/>
    <mergeCell ref="BY3:CA3"/>
    <mergeCell ref="CB3:CD3"/>
    <mergeCell ref="CE3:CG3"/>
    <mergeCell ref="CH3:CJ3"/>
    <mergeCell ref="CK3:CM3"/>
    <mergeCell ref="BV3:BX3"/>
    <mergeCell ref="BP3:BR3"/>
    <mergeCell ref="AI3:AK3"/>
    <mergeCell ref="AL3:AN3"/>
    <mergeCell ref="AO3:AQ3"/>
    <mergeCell ref="AR3:AT3"/>
    <mergeCell ref="AU3:AW3"/>
    <mergeCell ref="AX3:AZ3"/>
    <mergeCell ref="BA3:BC3"/>
    <mergeCell ref="BD3:BF3"/>
    <mergeCell ref="BG3:BI3"/>
    <mergeCell ref="BJ3:BL3"/>
    <mergeCell ref="BM3:BO3"/>
    <mergeCell ref="B3:D3"/>
    <mergeCell ref="E3:G3"/>
    <mergeCell ref="H3:J3"/>
    <mergeCell ref="K3:M3"/>
    <mergeCell ref="N3:P3"/>
    <mergeCell ref="AF3:AH3"/>
    <mergeCell ref="Q3:S3"/>
    <mergeCell ref="T3:V3"/>
    <mergeCell ref="W3:Y3"/>
    <mergeCell ref="Z3:AB3"/>
    <mergeCell ref="AC3:AE3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" sqref="B1"/>
    </sheetView>
  </sheetViews>
  <sheetFormatPr defaultRowHeight="15" x14ac:dyDescent="0.25"/>
  <cols>
    <col min="1" max="1" width="39.28515625" customWidth="1"/>
    <col min="2" max="65" width="16" customWidth="1"/>
  </cols>
  <sheetData>
    <row r="1" spans="1:65" ht="18.75" x14ac:dyDescent="0.3">
      <c r="A1" s="16" t="s">
        <v>126</v>
      </c>
    </row>
    <row r="2" spans="1:65" x14ac:dyDescent="0.25">
      <c r="A2" s="1" t="s">
        <v>0</v>
      </c>
      <c r="B2" s="119" t="s">
        <v>1</v>
      </c>
      <c r="C2" s="120"/>
      <c r="D2" s="119" t="s">
        <v>282</v>
      </c>
      <c r="E2" s="120"/>
      <c r="F2" s="119" t="s">
        <v>2</v>
      </c>
      <c r="G2" s="120"/>
      <c r="H2" s="119" t="s">
        <v>3</v>
      </c>
      <c r="I2" s="120"/>
      <c r="J2" s="119" t="s">
        <v>4</v>
      </c>
      <c r="K2" s="120"/>
      <c r="L2" s="119" t="s">
        <v>283</v>
      </c>
      <c r="M2" s="120"/>
      <c r="N2" s="119" t="s">
        <v>6</v>
      </c>
      <c r="O2" s="120"/>
      <c r="P2" s="119" t="s">
        <v>5</v>
      </c>
      <c r="Q2" s="120"/>
      <c r="R2" s="119" t="s">
        <v>7</v>
      </c>
      <c r="S2" s="120"/>
      <c r="T2" s="119" t="s">
        <v>284</v>
      </c>
      <c r="U2" s="120"/>
      <c r="V2" s="119" t="s">
        <v>8</v>
      </c>
      <c r="W2" s="120"/>
      <c r="X2" s="119" t="s">
        <v>9</v>
      </c>
      <c r="Y2" s="120"/>
      <c r="Z2" s="119" t="s">
        <v>10</v>
      </c>
      <c r="AA2" s="120"/>
      <c r="AB2" s="119" t="s">
        <v>293</v>
      </c>
      <c r="AC2" s="120"/>
      <c r="AD2" s="119" t="s">
        <v>11</v>
      </c>
      <c r="AE2" s="120"/>
      <c r="AF2" s="119" t="s">
        <v>12</v>
      </c>
      <c r="AG2" s="120"/>
      <c r="AH2" s="119" t="s">
        <v>285</v>
      </c>
      <c r="AI2" s="120"/>
      <c r="AJ2" s="119" t="s">
        <v>290</v>
      </c>
      <c r="AK2" s="120"/>
      <c r="AL2" s="119" t="s">
        <v>13</v>
      </c>
      <c r="AM2" s="120"/>
      <c r="AN2" s="119" t="s">
        <v>286</v>
      </c>
      <c r="AO2" s="120"/>
      <c r="AP2" s="119" t="s">
        <v>287</v>
      </c>
      <c r="AQ2" s="120"/>
      <c r="AR2" s="119" t="s">
        <v>291</v>
      </c>
      <c r="AS2" s="120"/>
      <c r="AT2" s="119" t="s">
        <v>294</v>
      </c>
      <c r="AU2" s="120"/>
      <c r="AV2" s="119" t="s">
        <v>14</v>
      </c>
      <c r="AW2" s="120"/>
      <c r="AX2" s="119" t="s">
        <v>15</v>
      </c>
      <c r="AY2" s="120"/>
      <c r="AZ2" s="119" t="s">
        <v>16</v>
      </c>
      <c r="BA2" s="120"/>
      <c r="BB2" s="119" t="s">
        <v>17</v>
      </c>
      <c r="BC2" s="120"/>
      <c r="BD2" s="119" t="s">
        <v>18</v>
      </c>
      <c r="BE2" s="120"/>
      <c r="BF2" s="119" t="s">
        <v>288</v>
      </c>
      <c r="BG2" s="120"/>
      <c r="BH2" s="119" t="s">
        <v>289</v>
      </c>
      <c r="BI2" s="120"/>
      <c r="BJ2" s="119" t="s">
        <v>19</v>
      </c>
      <c r="BK2" s="120"/>
      <c r="BL2" s="119" t="s">
        <v>20</v>
      </c>
      <c r="BM2" s="120"/>
    </row>
    <row r="3" spans="1:65" ht="30" x14ac:dyDescent="0.25">
      <c r="A3" s="1"/>
      <c r="B3" s="57" t="s">
        <v>296</v>
      </c>
      <c r="C3" s="58" t="s">
        <v>297</v>
      </c>
      <c r="D3" s="57" t="s">
        <v>296</v>
      </c>
      <c r="E3" s="58" t="s">
        <v>297</v>
      </c>
      <c r="F3" s="57" t="s">
        <v>296</v>
      </c>
      <c r="G3" s="58" t="s">
        <v>297</v>
      </c>
      <c r="H3" s="57" t="s">
        <v>296</v>
      </c>
      <c r="I3" s="58" t="s">
        <v>297</v>
      </c>
      <c r="J3" s="57" t="s">
        <v>296</v>
      </c>
      <c r="K3" s="58" t="s">
        <v>297</v>
      </c>
      <c r="L3" s="57" t="s">
        <v>296</v>
      </c>
      <c r="M3" s="58" t="s">
        <v>297</v>
      </c>
      <c r="N3" s="57" t="s">
        <v>296</v>
      </c>
      <c r="O3" s="58" t="s">
        <v>297</v>
      </c>
      <c r="P3" s="57" t="s">
        <v>296</v>
      </c>
      <c r="Q3" s="58" t="s">
        <v>297</v>
      </c>
      <c r="R3" s="57" t="s">
        <v>296</v>
      </c>
      <c r="S3" s="58" t="s">
        <v>297</v>
      </c>
      <c r="T3" s="57" t="s">
        <v>296</v>
      </c>
      <c r="U3" s="58" t="s">
        <v>297</v>
      </c>
      <c r="V3" s="57" t="s">
        <v>296</v>
      </c>
      <c r="W3" s="58" t="s">
        <v>297</v>
      </c>
      <c r="X3" s="57" t="s">
        <v>296</v>
      </c>
      <c r="Y3" s="58" t="s">
        <v>297</v>
      </c>
      <c r="Z3" s="57" t="s">
        <v>296</v>
      </c>
      <c r="AA3" s="58" t="s">
        <v>297</v>
      </c>
      <c r="AB3" s="57" t="s">
        <v>296</v>
      </c>
      <c r="AC3" s="58" t="s">
        <v>297</v>
      </c>
      <c r="AD3" s="57" t="s">
        <v>296</v>
      </c>
      <c r="AE3" s="58" t="s">
        <v>297</v>
      </c>
      <c r="AF3" s="57" t="s">
        <v>296</v>
      </c>
      <c r="AG3" s="58" t="s">
        <v>297</v>
      </c>
      <c r="AH3" s="57" t="s">
        <v>296</v>
      </c>
      <c r="AI3" s="58" t="s">
        <v>297</v>
      </c>
      <c r="AJ3" s="57" t="s">
        <v>296</v>
      </c>
      <c r="AK3" s="58" t="s">
        <v>297</v>
      </c>
      <c r="AL3" s="57" t="s">
        <v>296</v>
      </c>
      <c r="AM3" s="58" t="s">
        <v>297</v>
      </c>
      <c r="AN3" s="57" t="s">
        <v>296</v>
      </c>
      <c r="AO3" s="58" t="s">
        <v>297</v>
      </c>
      <c r="AP3" s="57" t="s">
        <v>296</v>
      </c>
      <c r="AQ3" s="58" t="s">
        <v>297</v>
      </c>
      <c r="AR3" s="57" t="s">
        <v>296</v>
      </c>
      <c r="AS3" s="58" t="s">
        <v>297</v>
      </c>
      <c r="AT3" s="57" t="s">
        <v>296</v>
      </c>
      <c r="AU3" s="58" t="s">
        <v>297</v>
      </c>
      <c r="AV3" s="57" t="s">
        <v>296</v>
      </c>
      <c r="AW3" s="58" t="s">
        <v>297</v>
      </c>
      <c r="AX3" s="57" t="s">
        <v>296</v>
      </c>
      <c r="AY3" s="58" t="s">
        <v>297</v>
      </c>
      <c r="AZ3" s="57" t="s">
        <v>296</v>
      </c>
      <c r="BA3" s="58" t="s">
        <v>297</v>
      </c>
      <c r="BB3" s="57" t="s">
        <v>296</v>
      </c>
      <c r="BC3" s="58" t="s">
        <v>297</v>
      </c>
      <c r="BD3" s="57" t="s">
        <v>296</v>
      </c>
      <c r="BE3" s="58" t="s">
        <v>297</v>
      </c>
      <c r="BF3" s="57" t="s">
        <v>296</v>
      </c>
      <c r="BG3" s="58" t="s">
        <v>297</v>
      </c>
      <c r="BH3" s="57" t="s">
        <v>296</v>
      </c>
      <c r="BI3" s="58" t="s">
        <v>297</v>
      </c>
      <c r="BJ3" s="57" t="s">
        <v>296</v>
      </c>
      <c r="BK3" s="58" t="s">
        <v>297</v>
      </c>
      <c r="BL3" s="57" t="s">
        <v>296</v>
      </c>
      <c r="BM3" s="58" t="s">
        <v>297</v>
      </c>
    </row>
    <row r="4" spans="1:65" x14ac:dyDescent="0.25">
      <c r="A4" s="11" t="s">
        <v>127</v>
      </c>
      <c r="B4" s="37">
        <v>0.54400000000000004</v>
      </c>
      <c r="C4" s="37">
        <v>0.13220000000000001</v>
      </c>
      <c r="D4" s="65">
        <v>0.35</v>
      </c>
      <c r="E4" s="65">
        <v>0.49</v>
      </c>
      <c r="F4" s="37">
        <v>0.90280000000000005</v>
      </c>
      <c r="G4" s="37">
        <v>0.28749999999999998</v>
      </c>
      <c r="H4" s="37">
        <v>4.9000000000000002E-2</v>
      </c>
      <c r="I4" s="39">
        <v>-1.6E-2</v>
      </c>
      <c r="J4" s="37">
        <v>4.0000000000000002E-4</v>
      </c>
      <c r="K4" s="37">
        <v>8.2000000000000007E-3</v>
      </c>
      <c r="L4" s="37">
        <v>0.12809999999999999</v>
      </c>
      <c r="M4" s="37">
        <v>-2.3E-3</v>
      </c>
      <c r="N4" s="37">
        <v>0.30330000000000001</v>
      </c>
      <c r="O4" s="37">
        <v>-1.23E-2</v>
      </c>
      <c r="P4" s="36">
        <v>0.18</v>
      </c>
      <c r="Q4" s="36">
        <v>0.49</v>
      </c>
      <c r="R4" s="36">
        <v>7.0000000000000007E-2</v>
      </c>
      <c r="S4" s="36">
        <v>0.12</v>
      </c>
      <c r="T4" s="37">
        <v>1.5172000000000001</v>
      </c>
      <c r="U4" s="37">
        <v>0.36749999999999999</v>
      </c>
      <c r="V4" s="37">
        <v>0.32200000000000001</v>
      </c>
      <c r="W4" s="37">
        <v>0.27679999999999999</v>
      </c>
      <c r="X4" s="65">
        <v>0.09</v>
      </c>
      <c r="Y4" s="36">
        <v>0.05</v>
      </c>
      <c r="Z4" s="37">
        <v>0.1205</v>
      </c>
      <c r="AA4" s="37">
        <v>5.6500000000000002E-2</v>
      </c>
      <c r="AB4" s="36">
        <v>0.28000000000000003</v>
      </c>
      <c r="AC4" s="36">
        <v>0.26</v>
      </c>
      <c r="AD4" s="36">
        <v>-0.02</v>
      </c>
      <c r="AE4" s="36">
        <v>-0.06</v>
      </c>
      <c r="AF4" s="37">
        <v>0.27200000000000002</v>
      </c>
      <c r="AG4" s="39">
        <v>4.8000000000000001E-2</v>
      </c>
      <c r="AH4" s="36">
        <v>0.41</v>
      </c>
      <c r="AI4" s="36">
        <v>0.31</v>
      </c>
      <c r="AJ4" s="36">
        <v>0.47</v>
      </c>
      <c r="AK4" s="36">
        <v>0.41</v>
      </c>
      <c r="AL4" s="37">
        <v>-0.12214840454229194</v>
      </c>
      <c r="AM4" s="39">
        <v>-7.3606810314671686E-2</v>
      </c>
      <c r="AN4" s="36">
        <v>0.28000000000000003</v>
      </c>
      <c r="AO4" s="36">
        <v>-0.34</v>
      </c>
      <c r="AP4" s="37">
        <v>0.46579999999999999</v>
      </c>
      <c r="AQ4" s="37">
        <v>0.72160000000000002</v>
      </c>
      <c r="AR4" s="65">
        <v>0.39</v>
      </c>
      <c r="AS4" s="65">
        <v>0.11</v>
      </c>
      <c r="AT4" s="85">
        <v>0.26</v>
      </c>
      <c r="AU4" s="85">
        <v>7.0000000000000007E-2</v>
      </c>
      <c r="AV4" s="67">
        <v>-0.111</v>
      </c>
      <c r="AW4" s="65">
        <v>-0.23</v>
      </c>
      <c r="AX4" s="37">
        <v>0.53259999999999996</v>
      </c>
      <c r="AY4" s="37">
        <v>0.216</v>
      </c>
      <c r="AZ4" s="37">
        <v>-0.13320000000000001</v>
      </c>
      <c r="BA4" s="37">
        <v>-0.13270000000000001</v>
      </c>
      <c r="BB4" s="37">
        <v>0.30380000000000001</v>
      </c>
      <c r="BC4" s="37">
        <v>0.36759999999999998</v>
      </c>
      <c r="BD4" s="36">
        <v>0.19</v>
      </c>
      <c r="BE4" s="36">
        <v>0.09</v>
      </c>
      <c r="BF4" s="85">
        <v>12.62</v>
      </c>
      <c r="BG4" s="85">
        <v>6.25</v>
      </c>
      <c r="BH4" s="101">
        <v>-9.7899999999999991</v>
      </c>
      <c r="BI4" s="101">
        <v>-8.92</v>
      </c>
      <c r="BJ4" s="37">
        <v>-3.4099999999999998E-2</v>
      </c>
      <c r="BK4" s="37">
        <v>-4.6300000000000001E-2</v>
      </c>
      <c r="BL4" s="37">
        <v>0.58609999999999995</v>
      </c>
      <c r="BM4" s="37">
        <v>6.7500000000000004E-2</v>
      </c>
    </row>
    <row r="5" spans="1:65" ht="15" customHeight="1" x14ac:dyDescent="0.25">
      <c r="A5" s="11" t="s">
        <v>128</v>
      </c>
      <c r="B5" s="31"/>
      <c r="C5" s="36"/>
      <c r="D5" s="65">
        <v>1.1100000000000001</v>
      </c>
      <c r="E5" s="65">
        <v>3.28</v>
      </c>
      <c r="F5" s="37"/>
      <c r="G5" s="37"/>
      <c r="H5" s="31">
        <v>0.39</v>
      </c>
      <c r="I5" s="31">
        <v>1.76</v>
      </c>
      <c r="J5" s="37">
        <v>0.88</v>
      </c>
      <c r="K5" s="37">
        <v>3.8</v>
      </c>
      <c r="L5" s="31">
        <v>0.69</v>
      </c>
      <c r="M5" s="31">
        <v>2.33</v>
      </c>
      <c r="N5" s="31"/>
      <c r="O5" s="31"/>
      <c r="P5" s="31"/>
      <c r="Q5" s="31"/>
      <c r="R5" s="31"/>
      <c r="S5" s="31"/>
      <c r="T5" s="31"/>
      <c r="U5" s="31"/>
      <c r="V5" s="37">
        <v>4.2008000000000001</v>
      </c>
      <c r="W5" s="37">
        <v>4.2008000000000001</v>
      </c>
      <c r="X5" s="31">
        <v>0.47</v>
      </c>
      <c r="Y5" s="31">
        <v>1.88</v>
      </c>
      <c r="Z5" s="31"/>
      <c r="AA5" s="31"/>
      <c r="AB5" s="31"/>
      <c r="AC5" s="31"/>
      <c r="AD5" s="85">
        <v>0.49</v>
      </c>
      <c r="AE5" s="31">
        <v>1.76</v>
      </c>
      <c r="AF5" s="31">
        <v>1.02</v>
      </c>
      <c r="AG5" s="31">
        <v>3.02</v>
      </c>
      <c r="AH5" s="36"/>
      <c r="AI5" s="36"/>
      <c r="AJ5" s="31"/>
      <c r="AK5" s="31"/>
      <c r="AL5" s="37"/>
      <c r="AM5" s="37"/>
      <c r="AN5" s="31"/>
      <c r="AO5" s="31"/>
      <c r="AP5" s="31">
        <v>0.43</v>
      </c>
      <c r="AQ5" s="31">
        <v>1.27</v>
      </c>
      <c r="AR5" s="31"/>
      <c r="AS5" s="31"/>
      <c r="AT5" s="31"/>
      <c r="AU5" s="31"/>
      <c r="AV5" s="31">
        <v>0.59</v>
      </c>
      <c r="AW5" s="31">
        <v>2.11</v>
      </c>
      <c r="AX5" s="31"/>
      <c r="AY5" s="31"/>
      <c r="AZ5" s="31"/>
      <c r="BA5" s="31"/>
      <c r="BB5" s="31">
        <v>0.94</v>
      </c>
      <c r="BC5" s="31">
        <v>2.69</v>
      </c>
      <c r="BD5" s="31"/>
      <c r="BE5" s="31"/>
      <c r="BF5" s="18"/>
      <c r="BG5" s="18"/>
      <c r="BH5" s="31"/>
      <c r="BI5" s="31"/>
      <c r="BJ5" s="31">
        <v>28.7</v>
      </c>
      <c r="BK5" s="31">
        <v>4.04</v>
      </c>
      <c r="BL5" s="37"/>
      <c r="BM5" s="37"/>
    </row>
    <row r="6" spans="1:65" ht="15" customHeight="1" x14ac:dyDescent="0.25">
      <c r="A6" s="11" t="s">
        <v>129</v>
      </c>
      <c r="B6" s="31">
        <v>1.1200000000000001</v>
      </c>
      <c r="C6" s="31">
        <v>3.27</v>
      </c>
      <c r="D6" s="65"/>
      <c r="E6" s="65"/>
      <c r="F6" s="40">
        <v>0.67</v>
      </c>
      <c r="G6" s="40">
        <v>2.6</v>
      </c>
      <c r="H6" s="31"/>
      <c r="I6" s="31"/>
      <c r="J6" s="37"/>
      <c r="K6" s="37"/>
      <c r="L6" s="37"/>
      <c r="M6" s="31"/>
      <c r="N6" s="101">
        <v>0.17</v>
      </c>
      <c r="O6" s="85">
        <v>0.17</v>
      </c>
      <c r="P6" s="85">
        <v>0.56999999999999995</v>
      </c>
      <c r="Q6" s="85">
        <v>1.94</v>
      </c>
      <c r="R6" s="31">
        <v>0.97</v>
      </c>
      <c r="S6" s="31">
        <v>3.43</v>
      </c>
      <c r="T6" s="31">
        <v>0.67</v>
      </c>
      <c r="U6" s="31">
        <v>2.09</v>
      </c>
      <c r="V6" s="31"/>
      <c r="W6" s="31"/>
      <c r="X6" s="31"/>
      <c r="Y6" s="31"/>
      <c r="Z6" s="31"/>
      <c r="AA6" s="31">
        <v>3.03</v>
      </c>
      <c r="AB6" s="31">
        <v>0.85</v>
      </c>
      <c r="AC6" s="85">
        <v>2.84</v>
      </c>
      <c r="AD6" s="31"/>
      <c r="AE6" s="31"/>
      <c r="AF6" s="31"/>
      <c r="AG6" s="31"/>
      <c r="AH6" s="36">
        <v>0.85</v>
      </c>
      <c r="AI6" s="36">
        <v>2.83</v>
      </c>
      <c r="AJ6" s="78" t="s">
        <v>307</v>
      </c>
      <c r="AK6" s="78" t="s">
        <v>308</v>
      </c>
      <c r="AL6" s="37">
        <v>0.69924006126478355</v>
      </c>
      <c r="AM6" s="37">
        <v>24.708092844195122</v>
      </c>
      <c r="AN6" s="31">
        <v>0.13</v>
      </c>
      <c r="AO6" s="31">
        <v>0.41</v>
      </c>
      <c r="AP6" s="31"/>
      <c r="AQ6" s="31"/>
      <c r="AR6" s="31">
        <v>0.98</v>
      </c>
      <c r="AS6" s="31">
        <v>4.05</v>
      </c>
      <c r="AT6" s="31">
        <v>0.78</v>
      </c>
      <c r="AU6" s="31">
        <v>2.4700000000000002</v>
      </c>
      <c r="AV6" s="31"/>
      <c r="AW6" s="31"/>
      <c r="AX6" s="31">
        <v>1.0900000000000001</v>
      </c>
      <c r="AY6" s="31">
        <v>3.02</v>
      </c>
      <c r="AZ6" s="37">
        <v>0.26960000000000001</v>
      </c>
      <c r="BA6" s="37">
        <v>0.99339999999999995</v>
      </c>
      <c r="BB6" s="31"/>
      <c r="BC6" s="31"/>
      <c r="BD6" s="31">
        <v>0.67</v>
      </c>
      <c r="BE6" s="31">
        <v>2.69</v>
      </c>
      <c r="BF6" s="85">
        <v>0.49</v>
      </c>
      <c r="BG6" s="85">
        <v>1.78</v>
      </c>
      <c r="BH6" s="31">
        <v>6.13</v>
      </c>
      <c r="BI6" s="31">
        <v>23.52</v>
      </c>
      <c r="BJ6" s="31"/>
      <c r="BK6" s="31"/>
      <c r="BL6" s="31">
        <v>0.86</v>
      </c>
      <c r="BM6" s="31">
        <v>3.01</v>
      </c>
    </row>
    <row r="7" spans="1:65" x14ac:dyDescent="0.25">
      <c r="A7" s="11" t="s">
        <v>130</v>
      </c>
      <c r="B7" s="36">
        <v>-0.39</v>
      </c>
      <c r="C7" s="36">
        <v>-0.39</v>
      </c>
      <c r="D7" s="65"/>
      <c r="E7" s="65"/>
      <c r="F7" s="39">
        <v>0.1183</v>
      </c>
      <c r="G7" s="39">
        <v>0.1183</v>
      </c>
      <c r="H7" s="36"/>
      <c r="I7" s="36"/>
      <c r="J7" s="37"/>
      <c r="K7" s="37"/>
      <c r="L7" s="31"/>
      <c r="M7" s="36"/>
      <c r="N7" s="37">
        <v>0.22059999999999999</v>
      </c>
      <c r="O7" s="37">
        <v>0.22059999999999999</v>
      </c>
      <c r="P7" s="36">
        <v>-0.09</v>
      </c>
      <c r="Q7" s="37">
        <v>-0.09</v>
      </c>
      <c r="R7" s="36">
        <v>0.16</v>
      </c>
      <c r="S7" s="36">
        <v>0.16</v>
      </c>
      <c r="T7" s="31"/>
      <c r="U7" s="37">
        <v>3.2199999999999999E-2</v>
      </c>
      <c r="V7" s="37"/>
      <c r="W7" s="37"/>
      <c r="X7" s="31"/>
      <c r="Y7" s="36"/>
      <c r="Z7" s="31"/>
      <c r="AA7" s="37">
        <v>0.13</v>
      </c>
      <c r="AB7" s="36">
        <v>0.16</v>
      </c>
      <c r="AC7" s="36">
        <v>0.16</v>
      </c>
      <c r="AD7" s="31">
        <v>0.22</v>
      </c>
      <c r="AE7" s="85">
        <v>0.22</v>
      </c>
      <c r="AF7" s="36"/>
      <c r="AG7" s="36"/>
      <c r="AH7" s="36"/>
      <c r="AI7" s="36"/>
      <c r="AJ7" s="36">
        <v>0.67</v>
      </c>
      <c r="AK7" s="36">
        <v>0.67</v>
      </c>
      <c r="AL7" s="39">
        <v>1.2621457574743191</v>
      </c>
      <c r="AM7" s="39">
        <v>1.2621457574743191</v>
      </c>
      <c r="AN7" s="36">
        <v>0.37</v>
      </c>
      <c r="AO7" s="36">
        <v>0.37</v>
      </c>
      <c r="AP7" s="31"/>
      <c r="AQ7" s="31"/>
      <c r="AR7" s="65">
        <v>0.11</v>
      </c>
      <c r="AS7" s="65">
        <v>0.11</v>
      </c>
      <c r="AT7" s="31">
        <v>0.77</v>
      </c>
      <c r="AU7" s="31">
        <v>0.77</v>
      </c>
      <c r="AV7" s="65"/>
      <c r="AW7" s="65"/>
      <c r="AX7" s="37">
        <v>0.23580000000000001</v>
      </c>
      <c r="AY7" s="37">
        <v>0.23580000000000001</v>
      </c>
      <c r="AZ7" s="37">
        <v>7.8700000000000006E-2</v>
      </c>
      <c r="BA7" s="37">
        <v>7.8700000000000006E-2</v>
      </c>
      <c r="BB7" s="31"/>
      <c r="BC7" s="31"/>
      <c r="BD7" s="36">
        <v>0.02</v>
      </c>
      <c r="BE7" s="36">
        <v>0.18</v>
      </c>
      <c r="BF7" s="37"/>
      <c r="BG7" s="37"/>
      <c r="BH7" s="31">
        <v>170.53</v>
      </c>
      <c r="BI7" s="31">
        <v>170.53</v>
      </c>
      <c r="BJ7" s="36"/>
      <c r="BK7" s="36"/>
      <c r="BL7" s="37">
        <v>9.2999999999999992E-3</v>
      </c>
      <c r="BM7" s="37">
        <v>9.2999999999999992E-3</v>
      </c>
    </row>
    <row r="8" spans="1:65" x14ac:dyDescent="0.25">
      <c r="A8" s="11" t="s">
        <v>131</v>
      </c>
      <c r="B8" s="31"/>
      <c r="C8" s="36"/>
      <c r="D8" s="65">
        <v>0.45</v>
      </c>
      <c r="E8" s="36">
        <v>0.45</v>
      </c>
      <c r="F8" s="37"/>
      <c r="G8" s="37"/>
      <c r="H8" s="37">
        <v>0.19800000000000001</v>
      </c>
      <c r="I8" s="37">
        <v>0.19800000000000001</v>
      </c>
      <c r="J8" s="37">
        <v>0.25729999999999997</v>
      </c>
      <c r="K8" s="37">
        <v>0.25729999999999997</v>
      </c>
      <c r="L8" s="37">
        <v>2.4400000000000002E-2</v>
      </c>
      <c r="M8" s="37">
        <v>0.19719999999999999</v>
      </c>
      <c r="N8" s="37"/>
      <c r="O8" s="37"/>
      <c r="P8" s="36"/>
      <c r="Q8" s="36"/>
      <c r="R8" s="31"/>
      <c r="S8" s="31"/>
      <c r="T8" s="36"/>
      <c r="U8" s="65"/>
      <c r="V8" s="37">
        <v>0.151</v>
      </c>
      <c r="W8" s="37">
        <v>0.151</v>
      </c>
      <c r="X8" s="36">
        <v>0.21</v>
      </c>
      <c r="Y8" s="36">
        <v>0.21</v>
      </c>
      <c r="Z8" s="37"/>
      <c r="AA8" s="37"/>
      <c r="AB8" s="36"/>
      <c r="AC8" s="36"/>
      <c r="AD8" s="36"/>
      <c r="AE8" s="31"/>
      <c r="AF8" s="77">
        <v>0.20799999999999999</v>
      </c>
      <c r="AG8" s="77">
        <v>0.20799999999999999</v>
      </c>
      <c r="AH8" s="36">
        <v>0.56000000000000005</v>
      </c>
      <c r="AI8" s="36">
        <v>0.56000000000000005</v>
      </c>
      <c r="AJ8" s="37"/>
      <c r="AK8" s="37"/>
      <c r="AL8" s="37"/>
      <c r="AM8" s="37"/>
      <c r="AN8" s="36"/>
      <c r="AO8" s="36"/>
      <c r="AP8" s="37">
        <v>0.44450000000000001</v>
      </c>
      <c r="AQ8" s="37">
        <v>0.44450000000000001</v>
      </c>
      <c r="AR8" s="65"/>
      <c r="AS8" s="65"/>
      <c r="AT8" s="37"/>
      <c r="AU8" s="37"/>
      <c r="AV8" s="37">
        <v>0.16600000000000001</v>
      </c>
      <c r="AW8" s="37">
        <v>0.16600000000000001</v>
      </c>
      <c r="AX8" s="31"/>
      <c r="AY8" s="31"/>
      <c r="AZ8" s="31"/>
      <c r="BA8" s="31"/>
      <c r="BB8" s="37">
        <v>4.5900000000000003E-2</v>
      </c>
      <c r="BC8" s="37">
        <v>0.84489999999999998</v>
      </c>
      <c r="BD8" s="31"/>
      <c r="BE8" s="31"/>
      <c r="BF8" s="31">
        <v>13.1</v>
      </c>
      <c r="BG8" s="31">
        <v>13.1</v>
      </c>
      <c r="BH8" s="36"/>
      <c r="BI8" s="36"/>
      <c r="BJ8" s="37">
        <v>-3.2027000000000001</v>
      </c>
      <c r="BK8" s="37">
        <v>1.7342</v>
      </c>
      <c r="BL8" s="37"/>
      <c r="BM8" s="37"/>
    </row>
    <row r="9" spans="1:65" x14ac:dyDescent="0.25">
      <c r="A9" s="11" t="s">
        <v>132</v>
      </c>
      <c r="B9" s="37">
        <v>0.56879999999999997</v>
      </c>
      <c r="C9" s="37">
        <v>0.51949999999999996</v>
      </c>
      <c r="D9" s="65">
        <v>0.79</v>
      </c>
      <c r="E9" s="36">
        <v>0.77</v>
      </c>
      <c r="F9" s="37">
        <v>0.57140000000000002</v>
      </c>
      <c r="G9" s="37">
        <v>0.5272</v>
      </c>
      <c r="H9" s="37">
        <v>0.70399999999999996</v>
      </c>
      <c r="I9" s="37">
        <v>0.58799999999999997</v>
      </c>
      <c r="J9" s="37">
        <v>0.70230000000000004</v>
      </c>
      <c r="K9" s="37">
        <v>0.61109999999999998</v>
      </c>
      <c r="L9" s="37">
        <v>0.76819999999999999</v>
      </c>
      <c r="M9" s="37">
        <v>0.76300000000000001</v>
      </c>
      <c r="N9" s="37">
        <v>0.84450000000000003</v>
      </c>
      <c r="O9" s="37">
        <v>0.81179999999999997</v>
      </c>
      <c r="P9" s="36">
        <v>0.75</v>
      </c>
      <c r="Q9" s="36">
        <v>0.81</v>
      </c>
      <c r="R9" s="36">
        <v>0.65</v>
      </c>
      <c r="S9" s="36">
        <v>0.59</v>
      </c>
      <c r="T9" s="37">
        <v>0.89439999999999997</v>
      </c>
      <c r="U9" s="37">
        <v>0.81159999999999999</v>
      </c>
      <c r="V9" s="37">
        <v>0.55259999999999998</v>
      </c>
      <c r="W9" s="39">
        <v>0.52270000000000005</v>
      </c>
      <c r="X9" s="36">
        <v>0.78</v>
      </c>
      <c r="Y9" s="36">
        <v>0.75</v>
      </c>
      <c r="Z9" s="37">
        <v>0.71540000000000004</v>
      </c>
      <c r="AA9" s="37">
        <v>0.62019999999999997</v>
      </c>
      <c r="AB9" s="36">
        <v>0.86</v>
      </c>
      <c r="AC9" s="36">
        <v>0.87</v>
      </c>
      <c r="AD9" s="36">
        <v>0.86</v>
      </c>
      <c r="AE9" s="36">
        <v>0.83</v>
      </c>
      <c r="AF9" s="77">
        <v>0.54100000000000004</v>
      </c>
      <c r="AG9" s="77">
        <v>0.59199999999999997</v>
      </c>
      <c r="AH9" s="36">
        <v>0.95</v>
      </c>
      <c r="AI9" s="36">
        <v>0.95</v>
      </c>
      <c r="AJ9" s="36">
        <v>0.77</v>
      </c>
      <c r="AK9" s="36">
        <v>0.77</v>
      </c>
      <c r="AL9" s="39">
        <v>0.86379374613737547</v>
      </c>
      <c r="AM9" s="39">
        <v>0.87061056612296372</v>
      </c>
      <c r="AN9" s="36">
        <v>0.84</v>
      </c>
      <c r="AO9" s="36">
        <v>0.85</v>
      </c>
      <c r="AP9" s="37">
        <v>0.82820000000000005</v>
      </c>
      <c r="AQ9" s="37">
        <v>0.81520000000000004</v>
      </c>
      <c r="AR9" s="65">
        <v>0.55000000000000004</v>
      </c>
      <c r="AS9" s="65">
        <v>0.5</v>
      </c>
      <c r="AT9" s="85">
        <v>0.77</v>
      </c>
      <c r="AU9" s="85">
        <v>0.77</v>
      </c>
      <c r="AV9" s="39">
        <v>0.77700000000000002</v>
      </c>
      <c r="AW9" s="39">
        <v>0.74199999999999999</v>
      </c>
      <c r="AX9" s="37">
        <v>0.52029999999999998</v>
      </c>
      <c r="AY9" s="37">
        <v>0.49419999999999997</v>
      </c>
      <c r="AZ9" s="37">
        <v>0.93169999999999997</v>
      </c>
      <c r="BA9" s="37">
        <v>0.92900000000000005</v>
      </c>
      <c r="BB9" s="37">
        <v>0.8034</v>
      </c>
      <c r="BC9" s="37">
        <v>0.76470000000000005</v>
      </c>
      <c r="BD9" s="36">
        <v>0.72</v>
      </c>
      <c r="BE9" s="36">
        <v>0.69</v>
      </c>
      <c r="BF9" s="85">
        <v>80.38</v>
      </c>
      <c r="BG9" s="85">
        <v>81.599999999999994</v>
      </c>
      <c r="BH9" s="31">
        <v>86.27</v>
      </c>
      <c r="BI9" s="31">
        <v>83.6</v>
      </c>
      <c r="BJ9" s="37">
        <v>0.85450000000000004</v>
      </c>
      <c r="BK9" s="37">
        <v>0.83499999999999996</v>
      </c>
      <c r="BL9" s="37">
        <v>0.1368</v>
      </c>
      <c r="BM9" s="37">
        <v>0.38340000000000002</v>
      </c>
    </row>
    <row r="10" spans="1:65" x14ac:dyDescent="0.25">
      <c r="A10" s="11" t="s">
        <v>133</v>
      </c>
      <c r="B10" s="37">
        <v>-3.5499999999999997E-2</v>
      </c>
      <c r="C10" s="37">
        <v>-4.7699999999999999E-2</v>
      </c>
      <c r="D10" s="65">
        <v>0.01</v>
      </c>
      <c r="E10" s="36">
        <v>0.05</v>
      </c>
      <c r="F10" s="37">
        <v>-1.06E-2</v>
      </c>
      <c r="G10" s="37">
        <v>-2.4500000000000001E-2</v>
      </c>
      <c r="H10" s="37">
        <v>3.5999999999999997E-2</v>
      </c>
      <c r="I10" s="37">
        <v>7.0000000000000001E-3</v>
      </c>
      <c r="J10" s="37">
        <v>1.61E-2</v>
      </c>
      <c r="K10" s="37">
        <v>3.95E-2</v>
      </c>
      <c r="L10" s="37">
        <v>2.8799999999999999E-2</v>
      </c>
      <c r="M10" s="37">
        <v>1.6299999999999999E-2</v>
      </c>
      <c r="N10" s="37">
        <v>-3.1600000000000003E-2</v>
      </c>
      <c r="O10" s="37">
        <v>-3.04E-2</v>
      </c>
      <c r="P10" s="36">
        <v>0.03</v>
      </c>
      <c r="Q10" s="36">
        <v>7.0000000000000007E-2</v>
      </c>
      <c r="R10" s="36">
        <v>0.04</v>
      </c>
      <c r="S10" s="36">
        <v>0.04</v>
      </c>
      <c r="T10" s="37">
        <v>1.6400000000000001E-2</v>
      </c>
      <c r="U10" s="37">
        <v>2.5700000000000001E-2</v>
      </c>
      <c r="V10" s="37">
        <v>-3.1699999999999999E-2</v>
      </c>
      <c r="W10" s="39">
        <v>-3.0499999999999999E-2</v>
      </c>
      <c r="X10" s="36">
        <v>0.04</v>
      </c>
      <c r="Y10" s="36">
        <v>0.06</v>
      </c>
      <c r="Z10" s="37">
        <v>4.1000000000000002E-2</v>
      </c>
      <c r="AA10" s="37">
        <v>4.0300000000000002E-2</v>
      </c>
      <c r="AB10" s="36">
        <v>0.06</v>
      </c>
      <c r="AC10" s="36">
        <v>0.06</v>
      </c>
      <c r="AD10" s="36">
        <v>0.1</v>
      </c>
      <c r="AE10" s="36">
        <v>0.1</v>
      </c>
      <c r="AF10" s="77">
        <v>-7.1999999999999995E-2</v>
      </c>
      <c r="AG10" s="77">
        <v>-6.9000000000000006E-2</v>
      </c>
      <c r="AH10" s="36">
        <v>0.12</v>
      </c>
      <c r="AI10" s="36">
        <v>0.11</v>
      </c>
      <c r="AJ10" s="36">
        <v>0.06</v>
      </c>
      <c r="AK10" s="36">
        <v>0.05</v>
      </c>
      <c r="AL10" s="39">
        <v>0.10246446401763319</v>
      </c>
      <c r="AM10" s="39">
        <v>7.6516229959429971E-2</v>
      </c>
      <c r="AN10" s="36">
        <v>0.08</v>
      </c>
      <c r="AO10" s="36">
        <v>0.06</v>
      </c>
      <c r="AP10" s="37">
        <v>0.13980000000000001</v>
      </c>
      <c r="AQ10" s="37">
        <v>0.1386</v>
      </c>
      <c r="AR10" s="65">
        <v>-0.06</v>
      </c>
      <c r="AS10" s="65">
        <v>-0.04</v>
      </c>
      <c r="AT10" s="85">
        <v>0.02</v>
      </c>
      <c r="AU10" s="85">
        <v>0.01</v>
      </c>
      <c r="AV10" s="39">
        <v>6.7000000000000004E-2</v>
      </c>
      <c r="AW10" s="39">
        <v>6.6000000000000003E-2</v>
      </c>
      <c r="AX10" s="37">
        <v>3.5999999999999999E-3</v>
      </c>
      <c r="AY10" s="37">
        <v>-3.5700000000000003E-2</v>
      </c>
      <c r="AZ10" s="37">
        <v>5.2400000000000002E-2</v>
      </c>
      <c r="BA10" s="37">
        <v>5.4800000000000001E-2</v>
      </c>
      <c r="BB10" s="37">
        <v>4.2999999999999997E-2</v>
      </c>
      <c r="BC10" s="37">
        <v>8.1600000000000006E-2</v>
      </c>
      <c r="BD10" s="36">
        <v>0.06</v>
      </c>
      <c r="BE10" s="36">
        <v>0.05</v>
      </c>
      <c r="BF10" s="85">
        <v>8.5399999999999991</v>
      </c>
      <c r="BG10" s="85">
        <v>9.15</v>
      </c>
      <c r="BH10" s="31">
        <v>9.7799999999999994</v>
      </c>
      <c r="BI10" s="31">
        <v>8.19</v>
      </c>
      <c r="BJ10" s="37">
        <v>6.9199999999999998E-2</v>
      </c>
      <c r="BK10" s="37">
        <v>6.5199999999999994E-2</v>
      </c>
      <c r="BL10" s="37">
        <v>2.9999999999999997E-4</v>
      </c>
      <c r="BM10" s="37">
        <v>3.1300000000000001E-2</v>
      </c>
    </row>
    <row r="11" spans="1:65" ht="30" x14ac:dyDescent="0.25">
      <c r="A11" s="11" t="s">
        <v>134</v>
      </c>
      <c r="B11" s="37">
        <v>0.36709999999999998</v>
      </c>
      <c r="C11" s="37">
        <v>0.51290000000000002</v>
      </c>
      <c r="D11" s="65">
        <v>0.56000000000000005</v>
      </c>
      <c r="E11" s="36">
        <v>0.62</v>
      </c>
      <c r="F11" s="37">
        <v>3.49E-2</v>
      </c>
      <c r="G11" s="37">
        <v>2.8299999999999999E-2</v>
      </c>
      <c r="H11" s="37">
        <v>0.28399999999999997</v>
      </c>
      <c r="I11" s="37">
        <v>0.22700000000000001</v>
      </c>
      <c r="J11" s="37">
        <v>0.41660000000000003</v>
      </c>
      <c r="K11" s="37">
        <v>0.33229999999999998</v>
      </c>
      <c r="L11" s="37">
        <v>0.34110000000000001</v>
      </c>
      <c r="M11" s="37">
        <v>0.33500000000000002</v>
      </c>
      <c r="N11" s="37">
        <v>0.33100000000000002</v>
      </c>
      <c r="O11" s="37">
        <v>0.28370000000000001</v>
      </c>
      <c r="P11" s="36">
        <v>0.53</v>
      </c>
      <c r="Q11" s="36">
        <v>0.59</v>
      </c>
      <c r="R11" s="36">
        <v>0.28999999999999998</v>
      </c>
      <c r="S11" s="36">
        <v>0.28000000000000003</v>
      </c>
      <c r="T11" s="37">
        <v>0.47339999999999999</v>
      </c>
      <c r="U11" s="37">
        <v>0.4042</v>
      </c>
      <c r="V11" s="39">
        <v>0.24909999999999999</v>
      </c>
      <c r="W11" s="39">
        <v>0.24529999999999999</v>
      </c>
      <c r="X11" s="36">
        <v>0.3</v>
      </c>
      <c r="Y11" s="36">
        <v>0.28999999999999998</v>
      </c>
      <c r="Z11" s="37">
        <v>0.21429999999999999</v>
      </c>
      <c r="AA11" s="37">
        <v>0.16950000000000001</v>
      </c>
      <c r="AB11" s="36">
        <v>0.39</v>
      </c>
      <c r="AC11" s="36">
        <v>0.38</v>
      </c>
      <c r="AD11" s="36">
        <v>0.4</v>
      </c>
      <c r="AE11" s="36">
        <v>0.45</v>
      </c>
      <c r="AF11" s="77">
        <v>0.32500000000000001</v>
      </c>
      <c r="AG11" s="77">
        <v>0.35799999999999998</v>
      </c>
      <c r="AH11" s="36">
        <v>0.5</v>
      </c>
      <c r="AI11" s="36">
        <v>0.55000000000000004</v>
      </c>
      <c r="AJ11" s="36">
        <v>0.43</v>
      </c>
      <c r="AK11" s="36">
        <v>0.44</v>
      </c>
      <c r="AL11" s="37">
        <v>0.38005712953978366</v>
      </c>
      <c r="AM11" s="37">
        <v>0.31780031038559514</v>
      </c>
      <c r="AN11" s="36">
        <v>0.76</v>
      </c>
      <c r="AO11" s="36">
        <v>0.92</v>
      </c>
      <c r="AP11" s="37">
        <v>0.50239999999999996</v>
      </c>
      <c r="AQ11" s="37">
        <v>0.53779999999999994</v>
      </c>
      <c r="AR11" s="65">
        <v>0.28999999999999998</v>
      </c>
      <c r="AS11" s="65">
        <v>0.24</v>
      </c>
      <c r="AT11" s="85">
        <v>0.41</v>
      </c>
      <c r="AU11" s="85">
        <v>0.42</v>
      </c>
      <c r="AV11" s="39">
        <v>0.28100000000000003</v>
      </c>
      <c r="AW11" s="39">
        <v>0.27800000000000002</v>
      </c>
      <c r="AX11" s="37">
        <v>0.1772</v>
      </c>
      <c r="AY11" s="37">
        <v>0.19450000000000001</v>
      </c>
      <c r="AZ11" s="37">
        <v>0.2586</v>
      </c>
      <c r="BA11" s="37">
        <v>0.24440000000000001</v>
      </c>
      <c r="BB11" s="37">
        <v>0.27529999999999999</v>
      </c>
      <c r="BC11" s="37">
        <v>0.28910000000000002</v>
      </c>
      <c r="BD11" s="36">
        <v>0.35</v>
      </c>
      <c r="BE11" s="36">
        <v>0.32</v>
      </c>
      <c r="BF11" s="85">
        <v>22.46</v>
      </c>
      <c r="BG11" s="85">
        <v>25.44</v>
      </c>
      <c r="BH11" s="31">
        <v>31.81</v>
      </c>
      <c r="BI11" s="31">
        <v>31.79</v>
      </c>
      <c r="BJ11" s="37">
        <v>0.33200000000000002</v>
      </c>
      <c r="BK11" s="37">
        <v>0.29820000000000002</v>
      </c>
      <c r="BL11" s="37">
        <v>0.156</v>
      </c>
      <c r="BM11" s="37">
        <v>0.13689999999999999</v>
      </c>
    </row>
    <row r="12" spans="1:65" ht="30" x14ac:dyDescent="0.25">
      <c r="A12" s="11" t="s">
        <v>135</v>
      </c>
      <c r="B12" s="37">
        <v>0.64539999999999997</v>
      </c>
      <c r="C12" s="37">
        <v>0.98729999999999996</v>
      </c>
      <c r="D12" s="65">
        <v>0.55000000000000004</v>
      </c>
      <c r="E12" s="36">
        <v>0.7</v>
      </c>
      <c r="F12" s="37">
        <v>6.1100000000000002E-2</v>
      </c>
      <c r="G12" s="37">
        <v>5.3600000000000002E-2</v>
      </c>
      <c r="H12" s="37">
        <v>0.40200000000000002</v>
      </c>
      <c r="I12" s="37">
        <v>0.38500000000000001</v>
      </c>
      <c r="J12" s="37">
        <v>0.59060000000000001</v>
      </c>
      <c r="K12" s="37">
        <v>0.53969999999999996</v>
      </c>
      <c r="L12" s="36"/>
      <c r="M12" s="36"/>
      <c r="N12" s="37">
        <v>0.39190000000000003</v>
      </c>
      <c r="O12" s="37">
        <v>0.34949999999999998</v>
      </c>
      <c r="P12" s="36">
        <v>0.69</v>
      </c>
      <c r="Q12" s="36">
        <v>0.7</v>
      </c>
      <c r="R12" s="36">
        <v>0.45</v>
      </c>
      <c r="S12" s="36">
        <v>0.47</v>
      </c>
      <c r="T12" s="37">
        <v>0.39579999999999999</v>
      </c>
      <c r="U12" s="37">
        <v>0.37119999999999997</v>
      </c>
      <c r="V12" s="39">
        <v>0.44769999999999999</v>
      </c>
      <c r="W12" s="39">
        <v>0.4637</v>
      </c>
      <c r="X12" s="36">
        <v>0.38</v>
      </c>
      <c r="Y12" s="36">
        <v>0.38</v>
      </c>
      <c r="Z12" s="37">
        <v>0.2984</v>
      </c>
      <c r="AA12" s="37">
        <v>0.26960000000000001</v>
      </c>
      <c r="AB12" s="36">
        <v>0.44</v>
      </c>
      <c r="AC12" s="36">
        <v>0.43</v>
      </c>
      <c r="AD12" s="36">
        <v>0.45</v>
      </c>
      <c r="AE12" s="36">
        <v>0.53</v>
      </c>
      <c r="AF12" s="77">
        <v>0.59099999999999997</v>
      </c>
      <c r="AG12" s="77">
        <v>0.57499999999999996</v>
      </c>
      <c r="AH12" s="36"/>
      <c r="AI12" s="36"/>
      <c r="AJ12" s="36">
        <v>0.56000000000000005</v>
      </c>
      <c r="AK12" s="36">
        <v>0.56999999999999995</v>
      </c>
      <c r="AL12" s="37">
        <v>0.41827129290310816</v>
      </c>
      <c r="AM12" s="37">
        <v>0.35656583463518188</v>
      </c>
      <c r="AN12" s="36">
        <v>0.91</v>
      </c>
      <c r="AO12" s="36">
        <v>1.08</v>
      </c>
      <c r="AP12" s="37">
        <v>0.53920000000000001</v>
      </c>
      <c r="AQ12" s="37">
        <v>0.60629999999999995</v>
      </c>
      <c r="AR12" s="65">
        <v>0.52</v>
      </c>
      <c r="AS12" s="65">
        <v>0.48</v>
      </c>
      <c r="AT12" s="85">
        <v>0.53</v>
      </c>
      <c r="AU12" s="85">
        <v>0.54</v>
      </c>
      <c r="AV12" s="39">
        <v>0.35799999999999998</v>
      </c>
      <c r="AW12" s="39">
        <v>0.36699999999999999</v>
      </c>
      <c r="AX12" s="37">
        <v>0.34010000000000001</v>
      </c>
      <c r="AY12" s="37">
        <v>0.39129999999999998</v>
      </c>
      <c r="AZ12" s="37">
        <v>0.2772</v>
      </c>
      <c r="BA12" s="37">
        <v>0.26240000000000002</v>
      </c>
      <c r="BB12" s="37">
        <v>0.21590000000000001</v>
      </c>
      <c r="BC12" s="37">
        <v>0.27700000000000002</v>
      </c>
      <c r="BD12" s="36">
        <v>0.41</v>
      </c>
      <c r="BE12" s="36">
        <v>0.43</v>
      </c>
      <c r="BF12" s="85">
        <v>26.63</v>
      </c>
      <c r="BG12" s="85">
        <v>29.79</v>
      </c>
      <c r="BH12" s="31">
        <v>35.14</v>
      </c>
      <c r="BI12" s="31">
        <v>36.82</v>
      </c>
      <c r="BJ12" s="36"/>
      <c r="BK12" s="36"/>
      <c r="BL12" s="37">
        <v>1.1396999999999999</v>
      </c>
      <c r="BM12" s="37">
        <v>0.35670000000000002</v>
      </c>
    </row>
    <row r="13" spans="1:65" ht="15" customHeight="1" x14ac:dyDescent="0.25">
      <c r="A13" s="11" t="s">
        <v>136</v>
      </c>
      <c r="B13" s="37">
        <v>0.85760000000000003</v>
      </c>
      <c r="C13" s="37">
        <v>0.81830000000000003</v>
      </c>
      <c r="D13" s="65">
        <v>0.51</v>
      </c>
      <c r="E13" s="36">
        <v>0.5</v>
      </c>
      <c r="F13" s="37">
        <v>0.88049999999999995</v>
      </c>
      <c r="G13" s="37">
        <v>0.92379999999999995</v>
      </c>
      <c r="H13" s="37">
        <v>0.64300000000000002</v>
      </c>
      <c r="I13" s="37">
        <v>0.68500000000000005</v>
      </c>
      <c r="J13" s="37">
        <v>0.53400000000000003</v>
      </c>
      <c r="K13" s="37">
        <v>0.63229999999999997</v>
      </c>
      <c r="L13" s="36"/>
      <c r="M13" s="36"/>
      <c r="N13" s="37">
        <v>0.83660000000000001</v>
      </c>
      <c r="O13" s="37">
        <v>1.0691999999999999</v>
      </c>
      <c r="P13" s="36">
        <v>0.97</v>
      </c>
      <c r="Q13" s="36">
        <v>1.02</v>
      </c>
      <c r="R13" s="36">
        <v>0.61</v>
      </c>
      <c r="S13" s="36">
        <v>0.66</v>
      </c>
      <c r="T13" s="37">
        <v>0.77929999999999999</v>
      </c>
      <c r="U13" s="37">
        <v>0.74029999999999996</v>
      </c>
      <c r="V13" s="39">
        <v>0.75760000000000005</v>
      </c>
      <c r="W13" s="39">
        <v>0.75749999999999995</v>
      </c>
      <c r="X13" s="36">
        <v>0.72</v>
      </c>
      <c r="Y13" s="36">
        <v>0.69</v>
      </c>
      <c r="Z13" s="37">
        <v>0.871</v>
      </c>
      <c r="AA13" s="37">
        <v>0.85099999999999998</v>
      </c>
      <c r="AB13" s="36">
        <v>0.73</v>
      </c>
      <c r="AC13" s="36">
        <v>0.67</v>
      </c>
      <c r="AD13" s="36">
        <v>0.67</v>
      </c>
      <c r="AE13" s="36">
        <v>0.63</v>
      </c>
      <c r="AF13" s="77">
        <v>0.78200000000000003</v>
      </c>
      <c r="AG13" s="77">
        <v>0.79600000000000004</v>
      </c>
      <c r="AH13" s="36"/>
      <c r="AI13" s="36"/>
      <c r="AJ13" s="36">
        <v>0.49</v>
      </c>
      <c r="AK13" s="36">
        <v>0.56000000000000005</v>
      </c>
      <c r="AL13" s="37">
        <v>0.97337982112616728</v>
      </c>
      <c r="AM13" s="37">
        <v>0.86233368468090799</v>
      </c>
      <c r="AN13" s="36">
        <v>0.61</v>
      </c>
      <c r="AO13" s="36">
        <v>0.64</v>
      </c>
      <c r="AP13" s="37">
        <v>0.87639999999999996</v>
      </c>
      <c r="AQ13" s="37">
        <v>0.86980000000000002</v>
      </c>
      <c r="AR13" s="65">
        <v>0.75</v>
      </c>
      <c r="AS13" s="65">
        <v>0.8</v>
      </c>
      <c r="AT13" s="85">
        <v>0.42</v>
      </c>
      <c r="AU13" s="85">
        <v>0.55000000000000004</v>
      </c>
      <c r="AV13" s="39">
        <v>0.89300000000000002</v>
      </c>
      <c r="AW13" s="39">
        <v>0.80400000000000005</v>
      </c>
      <c r="AX13" s="37">
        <v>0.65990000000000004</v>
      </c>
      <c r="AY13" s="37">
        <v>0.74109999999999998</v>
      </c>
      <c r="AZ13" s="37">
        <v>0.78539999999999999</v>
      </c>
      <c r="BA13" s="37">
        <v>0.78539999999999999</v>
      </c>
      <c r="BB13" s="37">
        <v>2.0945</v>
      </c>
      <c r="BC13" s="37">
        <v>0.94440000000000002</v>
      </c>
      <c r="BD13" s="36">
        <v>0.66</v>
      </c>
      <c r="BE13" s="36">
        <v>0.69</v>
      </c>
      <c r="BF13" s="85">
        <v>97.61</v>
      </c>
      <c r="BG13" s="85">
        <v>84.19</v>
      </c>
      <c r="BH13" s="31">
        <v>100.83</v>
      </c>
      <c r="BI13" s="31">
        <v>95.33</v>
      </c>
      <c r="BJ13" s="36"/>
      <c r="BK13" s="36"/>
      <c r="BL13" s="37">
        <v>1.5410999999999999</v>
      </c>
      <c r="BM13" s="37">
        <v>0.90439999999999998</v>
      </c>
    </row>
    <row r="14" spans="1:65" ht="15" customHeight="1" x14ac:dyDescent="0.25">
      <c r="A14" s="11" t="s">
        <v>137</v>
      </c>
      <c r="B14" s="37">
        <v>1.4328000000000001</v>
      </c>
      <c r="C14" s="37">
        <v>1.7224999999999999</v>
      </c>
      <c r="D14" s="65">
        <v>1.07</v>
      </c>
      <c r="E14" s="36">
        <v>1.2</v>
      </c>
      <c r="F14" s="37">
        <v>0.91359999999999997</v>
      </c>
      <c r="G14" s="37">
        <v>0.94340000000000002</v>
      </c>
      <c r="H14" s="37">
        <v>0.96599999999999997</v>
      </c>
      <c r="I14" s="37">
        <v>0.96899999999999997</v>
      </c>
      <c r="J14" s="37">
        <v>1.0099</v>
      </c>
      <c r="K14" s="37">
        <v>1.0882000000000001</v>
      </c>
      <c r="L14" s="37">
        <v>1.0753999999999999</v>
      </c>
      <c r="M14" s="37">
        <v>1.0728</v>
      </c>
      <c r="N14" s="37">
        <v>1.1728000000000001</v>
      </c>
      <c r="O14" s="37">
        <v>1.3752</v>
      </c>
      <c r="P14" s="36">
        <v>1.58</v>
      </c>
      <c r="Q14" s="36">
        <v>1.68</v>
      </c>
      <c r="R14" s="36">
        <v>1.01</v>
      </c>
      <c r="S14" s="36">
        <v>1.08</v>
      </c>
      <c r="T14" s="37">
        <v>1.1554</v>
      </c>
      <c r="U14" s="37">
        <v>1.0942000000000001</v>
      </c>
      <c r="V14" s="39">
        <v>1.0222</v>
      </c>
      <c r="W14" s="39">
        <v>1.0325</v>
      </c>
      <c r="X14" s="36">
        <v>1.02</v>
      </c>
      <c r="Y14" s="36">
        <v>1</v>
      </c>
      <c r="Z14" s="37">
        <v>1.0793999999999999</v>
      </c>
      <c r="AA14" s="37">
        <v>1.0392999999999999</v>
      </c>
      <c r="AB14" s="36">
        <v>1.1299999999999999</v>
      </c>
      <c r="AC14" s="36">
        <v>1.07</v>
      </c>
      <c r="AD14" s="36">
        <v>1.0900000000000001</v>
      </c>
      <c r="AE14" s="36">
        <v>1.1399999999999999</v>
      </c>
      <c r="AF14" s="77">
        <v>1.1859999999999999</v>
      </c>
      <c r="AG14" s="77">
        <v>1.2</v>
      </c>
      <c r="AH14" s="36">
        <v>1.2</v>
      </c>
      <c r="AI14" s="36">
        <v>1.19</v>
      </c>
      <c r="AJ14" s="36">
        <v>0.95</v>
      </c>
      <c r="AK14" s="36">
        <v>1.02</v>
      </c>
      <c r="AL14" s="37">
        <v>1.3868901498317787</v>
      </c>
      <c r="AM14" s="37">
        <v>1.2105019124165275</v>
      </c>
      <c r="AN14" s="36">
        <v>1.45</v>
      </c>
      <c r="AO14" s="36">
        <v>1.67</v>
      </c>
      <c r="AP14" s="37">
        <v>1.4218</v>
      </c>
      <c r="AQ14" s="37">
        <v>1.4713000000000001</v>
      </c>
      <c r="AR14" s="65">
        <v>1.1100000000000001</v>
      </c>
      <c r="AS14" s="65">
        <v>1.1299999999999999</v>
      </c>
      <c r="AT14" s="85">
        <v>0.8</v>
      </c>
      <c r="AU14" s="85">
        <v>0.93</v>
      </c>
      <c r="AV14" s="39">
        <v>1.1930000000000001</v>
      </c>
      <c r="AW14" s="39">
        <v>1.1020000000000001</v>
      </c>
      <c r="AX14" s="37">
        <v>0.87690000000000001</v>
      </c>
      <c r="AY14" s="37">
        <v>0.95699999999999996</v>
      </c>
      <c r="AZ14" s="37">
        <v>1.0141</v>
      </c>
      <c r="BA14" s="37">
        <v>1.0417000000000001</v>
      </c>
      <c r="BB14" s="37">
        <v>2.3104</v>
      </c>
      <c r="BC14" s="37">
        <v>1.2214</v>
      </c>
      <c r="BD14" s="36">
        <v>1.01</v>
      </c>
      <c r="BE14" s="36">
        <v>1.03</v>
      </c>
      <c r="BF14" s="85">
        <v>123.5</v>
      </c>
      <c r="BG14" s="85">
        <v>113.28</v>
      </c>
      <c r="BH14" s="36">
        <v>135.38</v>
      </c>
      <c r="BI14" s="36">
        <v>131.16</v>
      </c>
      <c r="BJ14" s="37">
        <v>1.2257</v>
      </c>
      <c r="BK14" s="37">
        <v>1.2271000000000001</v>
      </c>
      <c r="BL14" s="37">
        <v>2.3860000000000001</v>
      </c>
      <c r="BM14" s="37">
        <v>1.1685000000000001</v>
      </c>
    </row>
    <row r="15" spans="1:65" ht="15" customHeight="1" x14ac:dyDescent="0.25">
      <c r="A15" s="11" t="s">
        <v>138</v>
      </c>
      <c r="B15" s="31">
        <v>2.83</v>
      </c>
      <c r="C15" s="85">
        <v>1.07</v>
      </c>
      <c r="D15" s="65">
        <v>1.89</v>
      </c>
      <c r="E15" s="65">
        <v>0.66</v>
      </c>
      <c r="F15" s="101">
        <v>0.72</v>
      </c>
      <c r="G15" s="101">
        <v>1.22</v>
      </c>
      <c r="H15" s="31">
        <v>7.92</v>
      </c>
      <c r="I15" s="31">
        <v>1.91</v>
      </c>
      <c r="J15" s="85">
        <v>7.24</v>
      </c>
      <c r="K15" s="85">
        <v>1.93</v>
      </c>
      <c r="L15" s="38">
        <v>2.95</v>
      </c>
      <c r="M15" s="31">
        <v>2.95</v>
      </c>
      <c r="N15" s="31">
        <v>8.85</v>
      </c>
      <c r="O15" s="31">
        <v>8.85</v>
      </c>
      <c r="P15" s="85">
        <v>5.14</v>
      </c>
      <c r="Q15" s="85">
        <v>1.4</v>
      </c>
      <c r="R15" s="31">
        <v>5.47</v>
      </c>
      <c r="S15" s="31">
        <v>1.68</v>
      </c>
      <c r="T15" s="31"/>
      <c r="U15" s="85">
        <v>1.4</v>
      </c>
      <c r="V15" s="37">
        <v>1.6035999999999999</v>
      </c>
      <c r="W15" s="37">
        <v>1.6035999999999999</v>
      </c>
      <c r="X15" s="85">
        <v>8.9700000000000006</v>
      </c>
      <c r="Y15" s="85">
        <v>2.3199999999999998</v>
      </c>
      <c r="Z15" s="31"/>
      <c r="AA15" s="31">
        <v>1.68</v>
      </c>
      <c r="AB15" s="31">
        <v>4.96</v>
      </c>
      <c r="AC15" s="85">
        <v>1.46</v>
      </c>
      <c r="AD15" s="31">
        <v>6.08</v>
      </c>
      <c r="AE15" s="31">
        <v>1.49</v>
      </c>
      <c r="AF15" s="31">
        <v>8.93</v>
      </c>
      <c r="AG15" s="31">
        <v>2.65</v>
      </c>
      <c r="AH15" s="36">
        <v>2.11</v>
      </c>
      <c r="AI15" s="36">
        <v>0.64</v>
      </c>
      <c r="AJ15" s="78" t="s">
        <v>309</v>
      </c>
      <c r="AK15" s="78" t="s">
        <v>312</v>
      </c>
      <c r="AL15" s="18">
        <v>7.8099544834757264</v>
      </c>
      <c r="AM15" s="18">
        <v>2.0414810225689202</v>
      </c>
      <c r="AN15" s="31">
        <v>11.14</v>
      </c>
      <c r="AO15" s="31">
        <v>3.38</v>
      </c>
      <c r="AP15" s="31">
        <v>5.51</v>
      </c>
      <c r="AQ15" s="31">
        <v>1.96</v>
      </c>
      <c r="AR15" s="31">
        <v>8.58</v>
      </c>
      <c r="AS15" s="31">
        <v>2.2599999999999998</v>
      </c>
      <c r="AT15" s="85">
        <v>2.33</v>
      </c>
      <c r="AU15" s="85">
        <v>0.74</v>
      </c>
      <c r="AV15" s="85">
        <v>2.4500000000000002</v>
      </c>
      <c r="AW15" s="85">
        <v>2.4500000000000002</v>
      </c>
      <c r="AX15" s="31">
        <v>4.08</v>
      </c>
      <c r="AY15" s="31">
        <v>1.54</v>
      </c>
      <c r="AZ15" s="37">
        <v>15.496</v>
      </c>
      <c r="BA15" s="37">
        <v>4.2130999999999998</v>
      </c>
      <c r="BB15" s="37">
        <v>2.3018999999999998</v>
      </c>
      <c r="BC15" s="37">
        <v>0.84019999999999995</v>
      </c>
      <c r="BD15" s="31">
        <v>6.08</v>
      </c>
      <c r="BE15" s="31">
        <v>1.76</v>
      </c>
      <c r="BF15" s="85">
        <v>5.82</v>
      </c>
      <c r="BG15" s="85">
        <v>1.57</v>
      </c>
      <c r="BH15" s="31">
        <v>7.08</v>
      </c>
      <c r="BI15" s="31">
        <v>1.93</v>
      </c>
      <c r="BJ15" s="31">
        <v>0.62</v>
      </c>
      <c r="BK15" s="31">
        <v>2.1800000000000002</v>
      </c>
      <c r="BL15" s="101">
        <v>5.75</v>
      </c>
      <c r="BM15" s="101">
        <v>2.0299999999999998</v>
      </c>
    </row>
    <row r="16" spans="1:65" x14ac:dyDescent="0.25">
      <c r="A16" s="11" t="s">
        <v>139</v>
      </c>
      <c r="B16" s="31">
        <v>-0.7</v>
      </c>
      <c r="C16" s="85">
        <v>-0.96</v>
      </c>
      <c r="D16" s="65">
        <v>-0.14000000000000001</v>
      </c>
      <c r="E16" s="65">
        <v>-0.32</v>
      </c>
      <c r="F16" s="101">
        <v>0.03</v>
      </c>
      <c r="G16" s="101">
        <v>0.05</v>
      </c>
      <c r="H16" s="31">
        <v>0</v>
      </c>
      <c r="I16" s="31">
        <v>0.03</v>
      </c>
      <c r="J16" s="85">
        <v>-0.09</v>
      </c>
      <c r="K16" s="85">
        <v>-0.12</v>
      </c>
      <c r="L16" s="40">
        <v>-0.14000000000000001</v>
      </c>
      <c r="M16" s="31">
        <v>-0.09</v>
      </c>
      <c r="N16" s="83">
        <v>-0.66810000000000003</v>
      </c>
      <c r="O16" s="37">
        <v>-0.49340000000000001</v>
      </c>
      <c r="P16" s="85">
        <v>-0.7</v>
      </c>
      <c r="Q16" s="85">
        <v>-0.77</v>
      </c>
      <c r="R16" s="31">
        <v>-0.1</v>
      </c>
      <c r="S16" s="31">
        <v>-0.1</v>
      </c>
      <c r="T16" s="31">
        <v>-0.38</v>
      </c>
      <c r="U16" s="85">
        <v>-0.22</v>
      </c>
      <c r="V16" s="39">
        <v>-8.9399999999999993E-2</v>
      </c>
      <c r="W16" s="39">
        <v>-3.6700000000000003E-2</v>
      </c>
      <c r="X16" s="85">
        <v>-0.03</v>
      </c>
      <c r="Y16" s="85">
        <v>-0.02</v>
      </c>
      <c r="Z16" s="37">
        <v>-0.1004</v>
      </c>
      <c r="AA16" s="37">
        <v>-5.4199999999999998E-2</v>
      </c>
      <c r="AB16" s="31">
        <v>-0.26</v>
      </c>
      <c r="AC16" s="85">
        <v>-0.16</v>
      </c>
      <c r="AD16" s="85">
        <v>-0.15</v>
      </c>
      <c r="AE16" s="85">
        <v>-0.13</v>
      </c>
      <c r="AF16" s="31">
        <v>-0.28000000000000003</v>
      </c>
      <c r="AG16" s="31">
        <v>-0.22</v>
      </c>
      <c r="AH16" s="36">
        <v>-0.28000000000000003</v>
      </c>
      <c r="AI16" s="36">
        <v>-0.26</v>
      </c>
      <c r="AJ16" s="78" t="s">
        <v>310</v>
      </c>
      <c r="AK16" s="78" t="s">
        <v>313</v>
      </c>
      <c r="AL16" s="18">
        <v>-0.46133641939315367</v>
      </c>
      <c r="AM16" s="18">
        <v>-0.25392440079554485</v>
      </c>
      <c r="AN16" s="31">
        <v>-0.78</v>
      </c>
      <c r="AO16" s="31">
        <v>-1.79</v>
      </c>
      <c r="AP16" s="31">
        <v>-0.72</v>
      </c>
      <c r="AQ16" s="31">
        <v>-0.66</v>
      </c>
      <c r="AR16" s="31">
        <v>-0.18</v>
      </c>
      <c r="AS16" s="31">
        <v>-0.18</v>
      </c>
      <c r="AT16" s="85">
        <v>0</v>
      </c>
      <c r="AU16" s="85">
        <v>-0.05</v>
      </c>
      <c r="AV16" s="85">
        <v>-0.26</v>
      </c>
      <c r="AW16" s="85">
        <v>-0.11</v>
      </c>
      <c r="AX16" s="31">
        <v>0</v>
      </c>
      <c r="AY16" s="31">
        <v>0</v>
      </c>
      <c r="AZ16" s="37">
        <v>-3.5700000000000003E-2</v>
      </c>
      <c r="BA16" s="37">
        <v>-2.3800000000000002E-2</v>
      </c>
      <c r="BB16" s="37">
        <v>-1.9467000000000001</v>
      </c>
      <c r="BC16" s="37">
        <v>-0.37430000000000002</v>
      </c>
      <c r="BD16" s="31">
        <v>-0.1</v>
      </c>
      <c r="BE16" s="31">
        <v>-0.1</v>
      </c>
      <c r="BF16" s="85">
        <v>-0.25</v>
      </c>
      <c r="BG16" s="85">
        <v>-0.14000000000000001</v>
      </c>
      <c r="BH16" s="31">
        <v>-0.46</v>
      </c>
      <c r="BI16" s="31">
        <v>-0.34</v>
      </c>
      <c r="BJ16" s="31">
        <v>-0.24</v>
      </c>
      <c r="BK16" s="31">
        <v>-0.23</v>
      </c>
      <c r="BL16" s="101">
        <v>-1.1599999999999999</v>
      </c>
      <c r="BM16" s="101">
        <v>-0.14000000000000001</v>
      </c>
    </row>
    <row r="17" spans="1:65" x14ac:dyDescent="0.25">
      <c r="A17" s="11" t="s">
        <v>140</v>
      </c>
      <c r="B17" s="37">
        <v>-0.5958</v>
      </c>
      <c r="C17" s="37">
        <v>-0.83409999999999995</v>
      </c>
      <c r="D17" s="65">
        <v>-0.09</v>
      </c>
      <c r="E17" s="36">
        <v>-0.25</v>
      </c>
      <c r="F17" s="37">
        <v>0.14499999999999999</v>
      </c>
      <c r="G17" s="37">
        <v>0.1211</v>
      </c>
      <c r="H17" s="37">
        <v>0.156</v>
      </c>
      <c r="I17" s="37">
        <v>0.192</v>
      </c>
      <c r="J17" s="37">
        <v>7.4300000000000005E-2</v>
      </c>
      <c r="K17" s="37">
        <v>7.3899999999999993E-2</v>
      </c>
      <c r="L17" s="37">
        <v>0.1318</v>
      </c>
      <c r="M17" s="37">
        <v>0.1812</v>
      </c>
      <c r="N17" s="37">
        <v>-2.5399999999999999E-2</v>
      </c>
      <c r="O17" s="37">
        <v>0.1923</v>
      </c>
      <c r="P17" s="36">
        <v>-0.76</v>
      </c>
      <c r="Q17" s="36">
        <v>-0.63</v>
      </c>
      <c r="R17" s="36">
        <v>0.04</v>
      </c>
      <c r="S17" s="36">
        <v>0.06</v>
      </c>
      <c r="T17" s="37">
        <v>-0.26700000000000002</v>
      </c>
      <c r="U17" s="37">
        <v>-9.5399999999999999E-2</v>
      </c>
      <c r="V17" s="39">
        <v>6.8599999999999994E-2</v>
      </c>
      <c r="W17" s="39">
        <v>0.11409999999999999</v>
      </c>
      <c r="X17" s="36">
        <v>0.28999999999999998</v>
      </c>
      <c r="Y17" s="36">
        <v>0.19</v>
      </c>
      <c r="Z17" s="37">
        <v>1.41E-2</v>
      </c>
      <c r="AA17" s="37">
        <v>7.0400000000000004E-2</v>
      </c>
      <c r="AB17" s="36">
        <v>-0.15</v>
      </c>
      <c r="AC17" s="36">
        <v>-0.03</v>
      </c>
      <c r="AD17" s="85">
        <v>-0.01</v>
      </c>
      <c r="AE17" s="36">
        <v>0</v>
      </c>
      <c r="AF17" s="77">
        <v>-3.5000000000000003E-2</v>
      </c>
      <c r="AG17" s="77">
        <v>3.9E-2</v>
      </c>
      <c r="AH17" s="36">
        <v>-0.21</v>
      </c>
      <c r="AI17" s="36">
        <v>-0.23</v>
      </c>
      <c r="AJ17" s="95">
        <v>0.18</v>
      </c>
      <c r="AK17" s="36">
        <v>0.11</v>
      </c>
      <c r="AL17" s="37">
        <v>-0.19516771652671411</v>
      </c>
      <c r="AM17" s="37">
        <v>-1.1644404513148365E-2</v>
      </c>
      <c r="AN17" s="36">
        <v>-0.43</v>
      </c>
      <c r="AO17" s="36">
        <v>-1.55</v>
      </c>
      <c r="AP17" s="37">
        <v>-0.43859999999999999</v>
      </c>
      <c r="AQ17" s="37">
        <v>-0.28079999999999999</v>
      </c>
      <c r="AR17" s="65">
        <v>0.03</v>
      </c>
      <c r="AS17" s="65">
        <v>0.14000000000000001</v>
      </c>
      <c r="AT17" s="85">
        <v>0.48</v>
      </c>
      <c r="AU17" s="85">
        <v>0.01</v>
      </c>
      <c r="AV17" s="39">
        <v>-5.2999999999999999E-2</v>
      </c>
      <c r="AW17" s="39">
        <v>7.8E-2</v>
      </c>
      <c r="AX17" s="37">
        <v>0.14729999999999999</v>
      </c>
      <c r="AY17" s="37">
        <v>0.14729999999999999</v>
      </c>
      <c r="AZ17" s="37">
        <v>0.3357</v>
      </c>
      <c r="BA17" s="37">
        <v>0.3</v>
      </c>
      <c r="BB17" s="37">
        <v>-1.819</v>
      </c>
      <c r="BC17" s="37">
        <v>-0.3201</v>
      </c>
      <c r="BD17" s="36">
        <v>0.05</v>
      </c>
      <c r="BE17" s="36">
        <v>0.09</v>
      </c>
      <c r="BF17" s="85">
        <v>-1.69</v>
      </c>
      <c r="BG17" s="85">
        <v>2.66</v>
      </c>
      <c r="BH17" s="31">
        <v>-22.96</v>
      </c>
      <c r="BI17" s="31">
        <v>-13.51</v>
      </c>
      <c r="BJ17" s="37">
        <v>-0.10970000000000001</v>
      </c>
      <c r="BK17" s="37">
        <v>-7.5700000000000003E-2</v>
      </c>
      <c r="BL17" s="37">
        <v>-0.72399999999999998</v>
      </c>
      <c r="BM17" s="37">
        <v>2.1399999999999999E-2</v>
      </c>
    </row>
    <row r="18" spans="1:65" x14ac:dyDescent="0.25">
      <c r="A18" s="11" t="s">
        <v>141</v>
      </c>
      <c r="B18" s="31">
        <v>0.34</v>
      </c>
      <c r="C18" s="85">
        <v>0.34</v>
      </c>
      <c r="D18" s="65">
        <v>0.12</v>
      </c>
      <c r="E18" s="65">
        <v>0.12</v>
      </c>
      <c r="F18" s="101">
        <v>3.54</v>
      </c>
      <c r="G18" s="101">
        <v>0.83</v>
      </c>
      <c r="H18" s="31">
        <v>0.25</v>
      </c>
      <c r="I18" s="31">
        <v>0.25</v>
      </c>
      <c r="J18" s="85">
        <v>0.25</v>
      </c>
      <c r="K18" s="85">
        <v>0.25</v>
      </c>
      <c r="L18" s="38">
        <v>0.19</v>
      </c>
      <c r="M18" s="31">
        <v>0.19</v>
      </c>
      <c r="N18" s="18">
        <v>0.22</v>
      </c>
      <c r="O18" s="31">
        <v>0.38</v>
      </c>
      <c r="P18" s="85">
        <v>0.53</v>
      </c>
      <c r="Q18" s="85">
        <v>0.53</v>
      </c>
      <c r="R18" s="31">
        <v>0.13</v>
      </c>
      <c r="S18" s="31">
        <v>0.13</v>
      </c>
      <c r="T18" s="31"/>
      <c r="U18" s="37">
        <v>0.31230000000000002</v>
      </c>
      <c r="V18" s="37">
        <v>0.33489999999999998</v>
      </c>
      <c r="W18" s="37">
        <v>0.33489999999999998</v>
      </c>
      <c r="X18" s="85">
        <v>0.13</v>
      </c>
      <c r="Y18" s="85">
        <v>0.13</v>
      </c>
      <c r="Z18" s="31"/>
      <c r="AA18" s="31">
        <v>0.28999999999999998</v>
      </c>
      <c r="AB18" s="31">
        <v>0.17</v>
      </c>
      <c r="AC18" s="85">
        <v>0.17</v>
      </c>
      <c r="AD18" s="85">
        <v>0.16</v>
      </c>
      <c r="AE18" s="85">
        <v>0.16</v>
      </c>
      <c r="AF18" s="31">
        <v>0.16</v>
      </c>
      <c r="AG18" s="31">
        <v>0.16</v>
      </c>
      <c r="AH18" s="36">
        <v>0.63</v>
      </c>
      <c r="AI18" s="36">
        <v>0.63</v>
      </c>
      <c r="AJ18" s="78" t="s">
        <v>311</v>
      </c>
      <c r="AK18" s="78" t="s">
        <v>311</v>
      </c>
      <c r="AL18" s="18">
        <v>0.15327924513654306</v>
      </c>
      <c r="AM18" s="18">
        <v>0.15327924513654306</v>
      </c>
      <c r="AN18" s="31">
        <v>0.28999999999999998</v>
      </c>
      <c r="AO18" s="31">
        <v>0.28999999999999998</v>
      </c>
      <c r="AP18" s="31">
        <v>0.44</v>
      </c>
      <c r="AQ18" s="31">
        <v>0.44</v>
      </c>
      <c r="AR18" s="31">
        <v>0.25</v>
      </c>
      <c r="AS18" s="31">
        <v>0.25</v>
      </c>
      <c r="AT18" s="85">
        <v>0.33</v>
      </c>
      <c r="AU18" s="85">
        <v>0.33</v>
      </c>
      <c r="AV18" s="85">
        <v>0.24</v>
      </c>
      <c r="AW18" s="85">
        <v>0.25</v>
      </c>
      <c r="AX18" s="31">
        <v>0.21</v>
      </c>
      <c r="AY18" s="31">
        <v>0.21</v>
      </c>
      <c r="AZ18" s="37">
        <v>4.6100000000000002E-2</v>
      </c>
      <c r="BA18" s="37">
        <v>4.6100000000000002E-2</v>
      </c>
      <c r="BB18" s="37">
        <v>0.40200000000000002</v>
      </c>
      <c r="BC18" s="37">
        <v>0.40200000000000002</v>
      </c>
      <c r="BD18" s="31">
        <v>0.45</v>
      </c>
      <c r="BE18" s="31">
        <v>0.17</v>
      </c>
      <c r="BF18" s="85">
        <v>0.34</v>
      </c>
      <c r="BG18" s="85">
        <v>0.34</v>
      </c>
      <c r="BH18" s="31">
        <v>0.27</v>
      </c>
      <c r="BI18" s="31">
        <v>0.27</v>
      </c>
      <c r="BJ18" s="31"/>
      <c r="BK18" s="31">
        <v>0.24</v>
      </c>
      <c r="BL18" s="101">
        <v>0.53</v>
      </c>
      <c r="BM18" s="101">
        <v>0.53</v>
      </c>
    </row>
    <row r="19" spans="1:65" x14ac:dyDescent="0.25">
      <c r="A19" s="11" t="s">
        <v>142</v>
      </c>
      <c r="B19" s="37">
        <v>-0.38350000000000001</v>
      </c>
      <c r="C19" s="37">
        <v>-0.60399999999999998</v>
      </c>
      <c r="D19" s="65">
        <v>-7.0000000000000007E-2</v>
      </c>
      <c r="E19" s="36">
        <v>-0.2</v>
      </c>
      <c r="F19" s="37">
        <v>5.9700000000000003E-2</v>
      </c>
      <c r="G19" s="37">
        <v>7.7200000000000005E-2</v>
      </c>
      <c r="H19" s="37">
        <v>0.13900000000000001</v>
      </c>
      <c r="I19" s="37">
        <v>0.17899999999999999</v>
      </c>
      <c r="J19" s="37">
        <v>5.2499999999999998E-2</v>
      </c>
      <c r="K19" s="37">
        <v>6.1800000000000001E-2</v>
      </c>
      <c r="L19" s="37">
        <v>4.58E-2</v>
      </c>
      <c r="M19" s="37">
        <v>8.3900000000000002E-2</v>
      </c>
      <c r="N19" s="37">
        <v>0.28749999999999998</v>
      </c>
      <c r="O19" s="37">
        <v>0.53380000000000005</v>
      </c>
      <c r="P19" s="36">
        <v>-0.71</v>
      </c>
      <c r="Q19" s="36">
        <v>-0.59</v>
      </c>
      <c r="R19" s="36">
        <v>0.03</v>
      </c>
      <c r="S19" s="36">
        <v>0.06</v>
      </c>
      <c r="T19" s="37">
        <v>-0.22309999999999999</v>
      </c>
      <c r="U19" s="37">
        <v>-6.3200000000000006E-2</v>
      </c>
      <c r="V19" s="39">
        <v>4.1300000000000003E-2</v>
      </c>
      <c r="W19" s="39">
        <v>9.0999999999999998E-2</v>
      </c>
      <c r="X19" s="36">
        <v>0.13</v>
      </c>
      <c r="Y19" s="36">
        <v>0.15</v>
      </c>
      <c r="Z19" s="37">
        <v>-2.2100000000000002E-2</v>
      </c>
      <c r="AA19" s="37">
        <v>6.0400000000000002E-2</v>
      </c>
      <c r="AB19" s="36">
        <v>-0.11</v>
      </c>
      <c r="AC19" s="36">
        <v>0</v>
      </c>
      <c r="AD19" s="36">
        <v>0.03</v>
      </c>
      <c r="AE19" s="36">
        <v>0.04</v>
      </c>
      <c r="AF19" s="77">
        <v>-1.2E-2</v>
      </c>
      <c r="AG19" s="77">
        <v>2.4E-2</v>
      </c>
      <c r="AH19" s="36">
        <v>-0.16</v>
      </c>
      <c r="AI19" s="36">
        <v>-0.16</v>
      </c>
      <c r="AJ19" s="97">
        <v>-4.0000000000000001E-3</v>
      </c>
      <c r="AK19" s="36">
        <v>-0.04</v>
      </c>
      <c r="AL19" s="37">
        <v>-0.21221159108670282</v>
      </c>
      <c r="AM19" s="37">
        <v>-4.443847603758791E-2</v>
      </c>
      <c r="AN19" s="36">
        <v>-0.03</v>
      </c>
      <c r="AO19" s="36">
        <v>-1.31</v>
      </c>
      <c r="AP19" s="37">
        <v>-0.31430000000000002</v>
      </c>
      <c r="AQ19" s="37">
        <v>-0.34710000000000002</v>
      </c>
      <c r="AR19" s="65">
        <v>0.03</v>
      </c>
      <c r="AS19" s="79">
        <v>0.05</v>
      </c>
      <c r="AT19" s="85">
        <v>0.11</v>
      </c>
      <c r="AU19" s="85">
        <v>0.05</v>
      </c>
      <c r="AV19" s="39">
        <v>-1.7000000000000001E-2</v>
      </c>
      <c r="AW19" s="39">
        <v>7.3999999999999996E-2</v>
      </c>
      <c r="AX19" s="37">
        <v>9.01E-2</v>
      </c>
      <c r="AY19" s="37">
        <v>0.1323</v>
      </c>
      <c r="AZ19" s="37">
        <v>0.29859999999999998</v>
      </c>
      <c r="BA19" s="37">
        <v>0.2974</v>
      </c>
      <c r="BB19" s="37">
        <v>-0.36520000000000002</v>
      </c>
      <c r="BC19" s="37">
        <v>-0.1512</v>
      </c>
      <c r="BD19" s="36">
        <v>0.04</v>
      </c>
      <c r="BE19" s="36">
        <v>0.08</v>
      </c>
      <c r="BF19" s="85">
        <v>3.31</v>
      </c>
      <c r="BG19" s="85">
        <v>5.95</v>
      </c>
      <c r="BH19" s="31">
        <v>-25.53</v>
      </c>
      <c r="BI19" s="31">
        <v>-13.86</v>
      </c>
      <c r="BJ19" s="37">
        <v>-0.12859999999999999</v>
      </c>
      <c r="BK19" s="37">
        <v>-6.9900000000000004E-2</v>
      </c>
      <c r="BL19" s="37">
        <v>-0.8175</v>
      </c>
      <c r="BM19" s="37">
        <v>8.0000000000000002E-3</v>
      </c>
    </row>
    <row r="20" spans="1:65" x14ac:dyDescent="0.25">
      <c r="A20" s="11" t="s">
        <v>143</v>
      </c>
      <c r="B20" s="37">
        <v>-0.24479999999999999</v>
      </c>
      <c r="C20" s="37">
        <v>-1.0249999999999999</v>
      </c>
      <c r="D20" s="65">
        <v>-0.06</v>
      </c>
      <c r="E20" s="36">
        <v>-0.5</v>
      </c>
      <c r="F20" s="37">
        <v>2.2800000000000001E-2</v>
      </c>
      <c r="G20" s="37">
        <v>0.10580000000000001</v>
      </c>
      <c r="H20" s="37">
        <v>0.153</v>
      </c>
      <c r="I20" s="37">
        <v>0.186</v>
      </c>
      <c r="J20" s="37">
        <v>3.2500000000000001E-2</v>
      </c>
      <c r="K20" s="37">
        <v>0.14460000000000001</v>
      </c>
      <c r="L20" s="37">
        <v>2.07E-2</v>
      </c>
      <c r="M20" s="37">
        <v>0.14949999999999999</v>
      </c>
      <c r="N20" s="37">
        <v>7.2300000000000003E-2</v>
      </c>
      <c r="O20" s="37">
        <v>7.2300000000000003E-2</v>
      </c>
      <c r="P20" s="36">
        <v>-0.27</v>
      </c>
      <c r="Q20" s="36">
        <v>-0.86</v>
      </c>
      <c r="R20" s="36">
        <v>0.02</v>
      </c>
      <c r="S20" s="36">
        <v>0.12</v>
      </c>
      <c r="T20" s="37">
        <v>-0.11269999999999999</v>
      </c>
      <c r="U20" s="37">
        <v>-0.106</v>
      </c>
      <c r="V20" s="39">
        <v>0.2021</v>
      </c>
      <c r="W20" s="39">
        <v>0.2021</v>
      </c>
      <c r="X20" s="36">
        <v>0.05</v>
      </c>
      <c r="Y20" s="36">
        <v>0.2</v>
      </c>
      <c r="Z20" s="37"/>
      <c r="AA20" s="37">
        <v>0.115</v>
      </c>
      <c r="AB20" s="36">
        <v>-0.08</v>
      </c>
      <c r="AC20" s="36">
        <v>0.01</v>
      </c>
      <c r="AD20" s="36">
        <v>0.01</v>
      </c>
      <c r="AE20" s="36">
        <v>0.06</v>
      </c>
      <c r="AF20" s="77">
        <v>-7.0000000000000001E-3</v>
      </c>
      <c r="AG20" s="77">
        <v>4.5999999999999999E-2</v>
      </c>
      <c r="AH20" s="36">
        <v>-0.13</v>
      </c>
      <c r="AI20" s="36">
        <v>-0.44</v>
      </c>
      <c r="AJ20" s="97">
        <v>-3.0000000000000001E-3</v>
      </c>
      <c r="AK20" s="36">
        <v>-0.09</v>
      </c>
      <c r="AL20" s="37">
        <v>-1.2215739414843705</v>
      </c>
      <c r="AM20" s="37">
        <v>-0.97861748461839471</v>
      </c>
      <c r="AN20" s="36">
        <v>0</v>
      </c>
      <c r="AO20" s="36">
        <v>-0.46</v>
      </c>
      <c r="AP20" s="37">
        <v>-0.1255</v>
      </c>
      <c r="AQ20" s="37">
        <v>-0.39</v>
      </c>
      <c r="AR20" s="65">
        <v>0.02</v>
      </c>
      <c r="AS20" s="65">
        <v>0.1</v>
      </c>
      <c r="AT20" s="85">
        <v>7.0000000000000007E-2</v>
      </c>
      <c r="AU20" s="85">
        <v>0.1</v>
      </c>
      <c r="AV20" s="39">
        <v>-8.0000000000000002E-3</v>
      </c>
      <c r="AW20" s="39">
        <v>0.11799999999999999</v>
      </c>
      <c r="AX20" s="37">
        <v>5.1200000000000002E-2</v>
      </c>
      <c r="AY20" s="37">
        <v>0.19869999999999999</v>
      </c>
      <c r="AZ20" s="37">
        <v>0.2752</v>
      </c>
      <c r="BA20" s="37">
        <v>0.2752</v>
      </c>
      <c r="BB20" s="37">
        <v>-0.27460000000000001</v>
      </c>
      <c r="BC20" s="37">
        <v>-0.31159999999999999</v>
      </c>
      <c r="BD20" s="36">
        <v>0.02</v>
      </c>
      <c r="BE20" s="36">
        <v>0.15</v>
      </c>
      <c r="BF20" s="85">
        <v>5.48</v>
      </c>
      <c r="BG20" s="85">
        <v>9.58</v>
      </c>
      <c r="BH20" s="31">
        <v>-141.63999999999999</v>
      </c>
      <c r="BI20" s="31">
        <v>-281.42</v>
      </c>
      <c r="BJ20" s="36"/>
      <c r="BK20" s="37">
        <v>-0.2384</v>
      </c>
      <c r="BL20" s="37">
        <v>-9.6100000000000005E-2</v>
      </c>
      <c r="BM20" s="37">
        <v>9.1999999999999998E-3</v>
      </c>
    </row>
    <row r="21" spans="1:65" ht="30" x14ac:dyDescent="0.25">
      <c r="A21" s="11" t="s">
        <v>144</v>
      </c>
      <c r="B21" s="31">
        <v>1.91</v>
      </c>
      <c r="C21" s="31">
        <v>1.91</v>
      </c>
      <c r="D21" s="31">
        <v>1.82</v>
      </c>
      <c r="E21" s="31">
        <v>1.82</v>
      </c>
      <c r="F21" s="101">
        <v>2.09</v>
      </c>
      <c r="G21" s="101">
        <v>2.09</v>
      </c>
      <c r="H21" s="31">
        <v>3.45</v>
      </c>
      <c r="I21" s="31">
        <v>3.45</v>
      </c>
      <c r="J21" s="85">
        <v>1.59</v>
      </c>
      <c r="K21" s="85">
        <v>1.59</v>
      </c>
      <c r="L21" s="31">
        <v>2.08</v>
      </c>
      <c r="M21" s="31">
        <v>2.08</v>
      </c>
      <c r="N21" s="31"/>
      <c r="O21" s="31">
        <v>19.25</v>
      </c>
      <c r="P21" s="85">
        <v>2.09</v>
      </c>
      <c r="Q21" s="85">
        <v>2.09</v>
      </c>
      <c r="R21" s="31">
        <v>1.61</v>
      </c>
      <c r="S21" s="31">
        <v>1.61</v>
      </c>
      <c r="T21" s="31"/>
      <c r="U21" s="85">
        <v>2.0099999999999998</v>
      </c>
      <c r="V21" s="31">
        <v>1.9</v>
      </c>
      <c r="W21" s="31">
        <v>1.9</v>
      </c>
      <c r="X21" s="85">
        <v>2.9</v>
      </c>
      <c r="Y21" s="85">
        <v>2.9</v>
      </c>
      <c r="Z21" s="31"/>
      <c r="AA21" s="31">
        <v>1.73</v>
      </c>
      <c r="AB21" s="31">
        <v>1.95</v>
      </c>
      <c r="AC21" s="31">
        <v>1.95</v>
      </c>
      <c r="AD21" s="31">
        <v>2.92</v>
      </c>
      <c r="AE21" s="31">
        <v>2.92</v>
      </c>
      <c r="AF21" s="31">
        <v>1.79</v>
      </c>
      <c r="AG21" s="31">
        <v>1.79</v>
      </c>
      <c r="AH21" s="36">
        <v>2.12</v>
      </c>
      <c r="AI21" s="36">
        <v>2.12</v>
      </c>
      <c r="AJ21" s="95" t="s">
        <v>314</v>
      </c>
      <c r="AK21" s="78" t="s">
        <v>314</v>
      </c>
      <c r="AL21" s="37"/>
      <c r="AM21" s="18">
        <v>1.21</v>
      </c>
      <c r="AN21" s="31">
        <v>2.12</v>
      </c>
      <c r="AO21" s="31">
        <v>2.12</v>
      </c>
      <c r="AP21" s="31">
        <v>3.66</v>
      </c>
      <c r="AQ21" s="31">
        <v>3.66</v>
      </c>
      <c r="AR21" s="31">
        <v>1.65</v>
      </c>
      <c r="AS21" s="31">
        <v>1.65</v>
      </c>
      <c r="AT21" s="85">
        <v>2.4500000000000002</v>
      </c>
      <c r="AU21" s="85">
        <v>2.4500000000000002</v>
      </c>
      <c r="AV21" s="85">
        <v>1.87</v>
      </c>
      <c r="AW21" s="85">
        <v>1.87</v>
      </c>
      <c r="AX21" s="31">
        <v>2</v>
      </c>
      <c r="AY21" s="31">
        <v>2</v>
      </c>
      <c r="AZ21" s="31">
        <v>3.63</v>
      </c>
      <c r="BA21" s="31">
        <v>3.63</v>
      </c>
      <c r="BB21" s="31">
        <v>2.2200000000000002</v>
      </c>
      <c r="BC21" s="31">
        <v>2.2200000000000002</v>
      </c>
      <c r="BD21" s="31">
        <v>2.2200000000000002</v>
      </c>
      <c r="BE21" s="31">
        <v>2.2200000000000002</v>
      </c>
      <c r="BF21" s="31">
        <v>2.13</v>
      </c>
      <c r="BG21" s="31">
        <v>2.13</v>
      </c>
      <c r="BH21" s="31">
        <v>1.3</v>
      </c>
      <c r="BI21" s="31">
        <v>1.52</v>
      </c>
      <c r="BJ21" s="31"/>
      <c r="BK21" s="103">
        <v>1</v>
      </c>
      <c r="BL21" s="31">
        <v>1.9</v>
      </c>
      <c r="BM21" s="31">
        <v>1.9</v>
      </c>
    </row>
    <row r="22" spans="1:65" x14ac:dyDescent="0.25">
      <c r="A22" s="11" t="s">
        <v>145</v>
      </c>
      <c r="B22" s="31"/>
      <c r="C22" s="31"/>
      <c r="D22" s="31"/>
      <c r="E22" s="31"/>
      <c r="F22" s="37">
        <v>4.0000000000000001E-3</v>
      </c>
      <c r="G22" s="37">
        <v>4.0000000000000001E-3</v>
      </c>
      <c r="H22" s="31"/>
      <c r="I22" s="31"/>
      <c r="J22" s="37"/>
      <c r="K22" s="37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7"/>
      <c r="AH22" s="36"/>
      <c r="AI22" s="36"/>
      <c r="AJ22" s="78"/>
      <c r="AK22" s="78"/>
      <c r="AL22" s="37"/>
      <c r="AM22" s="37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7">
        <v>2E-3</v>
      </c>
      <c r="BM22" s="37">
        <v>2E-3</v>
      </c>
    </row>
    <row r="23" spans="1:65" x14ac:dyDescent="0.25">
      <c r="A23" s="11" t="s">
        <v>146</v>
      </c>
      <c r="B23" s="31"/>
      <c r="C23" s="31"/>
      <c r="D23" s="31"/>
      <c r="E23" s="31"/>
      <c r="F23" s="37"/>
      <c r="G23" s="37"/>
      <c r="H23" s="37">
        <v>7.6E-3</v>
      </c>
      <c r="I23" s="37">
        <v>7.6E-3</v>
      </c>
      <c r="J23" s="37">
        <v>3.4599999999999999E-2</v>
      </c>
      <c r="K23" s="37">
        <v>3.4599999999999999E-2</v>
      </c>
      <c r="L23" s="39">
        <v>1.46E-2</v>
      </c>
      <c r="M23" s="39">
        <v>1.46E-2</v>
      </c>
      <c r="N23" s="37"/>
      <c r="O23" s="37"/>
      <c r="P23" s="31"/>
      <c r="Q23" s="31"/>
      <c r="R23" s="37">
        <v>8.6E-3</v>
      </c>
      <c r="S23" s="37">
        <v>8.6E-3</v>
      </c>
      <c r="T23" s="31"/>
      <c r="U23" s="37"/>
      <c r="V23" s="37">
        <v>1.6199999999999999E-2</v>
      </c>
      <c r="W23" s="37">
        <v>1.6199999999999999E-2</v>
      </c>
      <c r="X23" s="31"/>
      <c r="Y23" s="31"/>
      <c r="Z23" s="31"/>
      <c r="AA23" s="37"/>
      <c r="AB23" s="31"/>
      <c r="AC23" s="31"/>
      <c r="AD23" s="31"/>
      <c r="AE23" s="31"/>
      <c r="AF23" s="77">
        <v>5.0000000000000001E-3</v>
      </c>
      <c r="AG23" s="77">
        <v>5.0000000000000001E-3</v>
      </c>
      <c r="AH23" s="36"/>
      <c r="AI23" s="36"/>
      <c r="AJ23" s="37">
        <v>4.9500000000000002E-2</v>
      </c>
      <c r="AK23" s="37">
        <v>4.9500000000000002E-2</v>
      </c>
      <c r="AL23" s="37"/>
      <c r="AM23" s="37">
        <v>1.1299999999999999E-2</v>
      </c>
      <c r="AN23" s="39">
        <v>2.5100000000000001E-2</v>
      </c>
      <c r="AO23" s="37">
        <v>2.5100000000000001E-2</v>
      </c>
      <c r="AP23" s="37"/>
      <c r="AQ23" s="37"/>
      <c r="AR23" s="39">
        <v>1.26E-2</v>
      </c>
      <c r="AS23" s="39">
        <v>1.26E-2</v>
      </c>
      <c r="AT23" s="31"/>
      <c r="AU23" s="31"/>
      <c r="AV23" s="39">
        <v>1.4999999999999999E-2</v>
      </c>
      <c r="AW23" s="39">
        <v>1.4999999999999999E-2</v>
      </c>
      <c r="AX23" s="31"/>
      <c r="AY23" s="31"/>
      <c r="AZ23" s="31"/>
      <c r="BA23" s="31"/>
      <c r="BB23" s="31"/>
      <c r="BC23" s="31"/>
      <c r="BD23" s="31"/>
      <c r="BE23" s="31"/>
      <c r="BF23" s="31">
        <v>1.38</v>
      </c>
      <c r="BG23" s="31">
        <v>1.38</v>
      </c>
      <c r="BH23" s="31"/>
      <c r="BI23" s="31">
        <v>2.23</v>
      </c>
      <c r="BJ23" s="31"/>
      <c r="BK23" s="37">
        <v>1.8499999999999999E-2</v>
      </c>
      <c r="BL23" s="31"/>
      <c r="BM23" s="37"/>
    </row>
    <row r="24" spans="1:65" x14ac:dyDescent="0.25">
      <c r="A24" s="11" t="s">
        <v>147</v>
      </c>
      <c r="B24" s="31"/>
      <c r="C24" s="31"/>
      <c r="D24" s="31"/>
      <c r="E24" s="31"/>
      <c r="F24" s="37"/>
      <c r="G24" s="37"/>
      <c r="H24" s="37">
        <v>1.4E-3</v>
      </c>
      <c r="I24" s="37">
        <v>1.4E-3</v>
      </c>
      <c r="J24" s="37">
        <v>1.0500000000000001E-2</v>
      </c>
      <c r="K24" s="37">
        <v>1.0500000000000001E-2</v>
      </c>
      <c r="L24" s="39">
        <v>6.4999999999999997E-3</v>
      </c>
      <c r="M24" s="39">
        <v>6.4999999999999997E-3</v>
      </c>
      <c r="N24" s="37"/>
      <c r="O24" s="37"/>
      <c r="P24" s="31"/>
      <c r="Q24" s="31"/>
      <c r="R24" s="37">
        <v>0</v>
      </c>
      <c r="S24" s="37">
        <v>0</v>
      </c>
      <c r="T24" s="31"/>
      <c r="U24" s="37"/>
      <c r="V24" s="37">
        <v>2.9999999999999997E-4</v>
      </c>
      <c r="W24" s="37">
        <v>2.9999999999999997E-4</v>
      </c>
      <c r="X24" s="31"/>
      <c r="Y24" s="31"/>
      <c r="Z24" s="31"/>
      <c r="AA24" s="37"/>
      <c r="AB24" s="31"/>
      <c r="AC24" s="31"/>
      <c r="AD24" s="31"/>
      <c r="AE24" s="31"/>
      <c r="AF24" s="31"/>
      <c r="AG24" s="31"/>
      <c r="AH24" s="36"/>
      <c r="AI24" s="36"/>
      <c r="AJ24" s="37">
        <v>3.0999999999999999E-3</v>
      </c>
      <c r="AK24" s="37">
        <v>3.0999999999999999E-3</v>
      </c>
      <c r="AL24" s="37"/>
      <c r="AM24" s="37"/>
      <c r="AN24" s="39">
        <v>8.0999999999999996E-3</v>
      </c>
      <c r="AO24" s="37">
        <v>8.0999999999999996E-3</v>
      </c>
      <c r="AP24" s="37"/>
      <c r="AQ24" s="37"/>
      <c r="AR24" s="39">
        <v>7.7000000000000002E-3</v>
      </c>
      <c r="AS24" s="39">
        <v>7.7000000000000002E-3</v>
      </c>
      <c r="AT24" s="31"/>
      <c r="AU24" s="31"/>
      <c r="AV24" s="39">
        <v>8.9999999999999993E-3</v>
      </c>
      <c r="AW24" s="39">
        <v>8.9999999999999993E-3</v>
      </c>
      <c r="AX24" s="31"/>
      <c r="AY24" s="31"/>
      <c r="AZ24" s="31"/>
      <c r="BA24" s="31"/>
      <c r="BB24" s="31"/>
      <c r="BC24" s="31"/>
      <c r="BD24" s="31"/>
      <c r="BE24" s="31"/>
      <c r="BF24" s="31">
        <v>7.0000000000000007E-2</v>
      </c>
      <c r="BG24" s="31">
        <v>7.0000000000000007E-2</v>
      </c>
      <c r="BH24" s="31"/>
      <c r="BI24" s="31"/>
      <c r="BJ24" s="31"/>
      <c r="BK24" s="37">
        <v>6.1999999999999998E-3</v>
      </c>
      <c r="BL24" s="31"/>
      <c r="BM24" s="37"/>
    </row>
  </sheetData>
  <mergeCells count="32">
    <mergeCell ref="X2:Y2"/>
    <mergeCell ref="N2:O2"/>
    <mergeCell ref="P2:Q2"/>
    <mergeCell ref="R2:S2"/>
    <mergeCell ref="T2:U2"/>
    <mergeCell ref="V2:W2"/>
    <mergeCell ref="L2:M2"/>
    <mergeCell ref="B2:C2"/>
    <mergeCell ref="D2:E2"/>
    <mergeCell ref="F2:G2"/>
    <mergeCell ref="H2:I2"/>
    <mergeCell ref="J2:K2"/>
    <mergeCell ref="Z2:AA2"/>
    <mergeCell ref="AB2:AC2"/>
    <mergeCell ref="AD2:AE2"/>
    <mergeCell ref="AF2:AG2"/>
    <mergeCell ref="AJ2:AK2"/>
    <mergeCell ref="AH2:AI2"/>
    <mergeCell ref="AL2:AM2"/>
    <mergeCell ref="AN2:AO2"/>
    <mergeCell ref="AP2:AQ2"/>
    <mergeCell ref="AR2:AS2"/>
    <mergeCell ref="BH2:BI2"/>
    <mergeCell ref="AT2:AU2"/>
    <mergeCell ref="AV2:AW2"/>
    <mergeCell ref="AX2:AY2"/>
    <mergeCell ref="BJ2:BK2"/>
    <mergeCell ref="BL2:BM2"/>
    <mergeCell ref="BF2:BG2"/>
    <mergeCell ref="AZ2:BA2"/>
    <mergeCell ref="BB2:BC2"/>
    <mergeCell ref="BD2:BE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7.42578125" style="23" customWidth="1"/>
    <col min="2" max="17" width="16" style="23" customWidth="1"/>
    <col min="18" max="18" width="19.5703125" style="23" customWidth="1"/>
    <col min="19" max="33" width="16" style="23" customWidth="1"/>
    <col min="34" max="16384" width="9.140625" style="23"/>
  </cols>
  <sheetData>
    <row r="1" spans="1:33" ht="18.75" x14ac:dyDescent="0.3">
      <c r="A1" s="8" t="s">
        <v>306</v>
      </c>
    </row>
    <row r="2" spans="1:33" x14ac:dyDescent="0.25">
      <c r="A2" s="23" t="s">
        <v>100</v>
      </c>
    </row>
    <row r="3" spans="1:33" x14ac:dyDescent="0.25">
      <c r="A3" s="1" t="s">
        <v>0</v>
      </c>
      <c r="B3" s="93" t="s">
        <v>1</v>
      </c>
      <c r="C3" s="93" t="s">
        <v>282</v>
      </c>
      <c r="D3" s="93" t="s">
        <v>2</v>
      </c>
      <c r="E3" s="93" t="s">
        <v>3</v>
      </c>
      <c r="F3" s="93" t="s">
        <v>4</v>
      </c>
      <c r="G3" s="93" t="s">
        <v>283</v>
      </c>
      <c r="H3" s="93" t="s">
        <v>6</v>
      </c>
      <c r="I3" s="93" t="s">
        <v>5</v>
      </c>
      <c r="J3" s="93" t="s">
        <v>7</v>
      </c>
      <c r="K3" s="93" t="s">
        <v>284</v>
      </c>
      <c r="L3" s="93" t="s">
        <v>8</v>
      </c>
      <c r="M3" s="93" t="s">
        <v>9</v>
      </c>
      <c r="N3" s="93" t="s">
        <v>10</v>
      </c>
      <c r="O3" s="93" t="s">
        <v>293</v>
      </c>
      <c r="P3" s="93" t="s">
        <v>11</v>
      </c>
      <c r="Q3" s="93" t="s">
        <v>12</v>
      </c>
      <c r="R3" s="93" t="s">
        <v>285</v>
      </c>
      <c r="S3" s="93" t="s">
        <v>290</v>
      </c>
      <c r="T3" s="93" t="s">
        <v>13</v>
      </c>
      <c r="U3" s="93" t="s">
        <v>286</v>
      </c>
      <c r="V3" s="93" t="s">
        <v>287</v>
      </c>
      <c r="W3" s="93" t="s">
        <v>291</v>
      </c>
      <c r="X3" s="93" t="s">
        <v>294</v>
      </c>
      <c r="Y3" s="93" t="s">
        <v>14</v>
      </c>
      <c r="Z3" s="93" t="s">
        <v>15</v>
      </c>
      <c r="AA3" s="93" t="s">
        <v>16</v>
      </c>
      <c r="AB3" s="93" t="s">
        <v>17</v>
      </c>
      <c r="AC3" s="93" t="s">
        <v>18</v>
      </c>
      <c r="AD3" s="92" t="s">
        <v>288</v>
      </c>
      <c r="AE3" s="92" t="s">
        <v>289</v>
      </c>
      <c r="AF3" s="92" t="s">
        <v>19</v>
      </c>
      <c r="AG3" s="93" t="s">
        <v>20</v>
      </c>
    </row>
    <row r="4" spans="1:33" ht="15" customHeight="1" x14ac:dyDescent="0.25">
      <c r="A4" s="21" t="s">
        <v>101</v>
      </c>
      <c r="B4" s="25">
        <v>36773</v>
      </c>
      <c r="C4" s="25">
        <v>116194</v>
      </c>
      <c r="D4" s="25">
        <v>1977235.55</v>
      </c>
      <c r="E4" s="25">
        <v>1797452</v>
      </c>
      <c r="F4" s="25">
        <v>536572</v>
      </c>
      <c r="G4" s="25">
        <v>1031249</v>
      </c>
      <c r="H4" s="25">
        <v>813844.21</v>
      </c>
      <c r="I4" s="25">
        <v>33981</v>
      </c>
      <c r="J4" s="25">
        <v>495434</v>
      </c>
      <c r="K4" s="25">
        <v>459442</v>
      </c>
      <c r="L4" s="25">
        <v>1489398</v>
      </c>
      <c r="M4" s="25">
        <v>3023056</v>
      </c>
      <c r="N4" s="25">
        <v>961318.28</v>
      </c>
      <c r="O4" s="25">
        <v>74018</v>
      </c>
      <c r="P4" s="25">
        <v>247756</v>
      </c>
      <c r="Q4" s="25">
        <v>266723</v>
      </c>
      <c r="R4" s="25">
        <v>56865</v>
      </c>
      <c r="S4" s="25">
        <v>98418</v>
      </c>
      <c r="T4" s="25"/>
      <c r="U4" s="25">
        <v>38612</v>
      </c>
      <c r="V4" s="25">
        <v>51910</v>
      </c>
      <c r="W4" s="25">
        <v>1209097</v>
      </c>
      <c r="X4" s="25">
        <v>181715</v>
      </c>
      <c r="Y4" s="25">
        <v>570581</v>
      </c>
      <c r="Z4" s="25">
        <v>882149</v>
      </c>
      <c r="AA4" s="25">
        <v>898729</v>
      </c>
      <c r="AB4" s="25">
        <f>631271+14035</f>
        <v>645306</v>
      </c>
      <c r="AC4" s="25">
        <v>9408199</v>
      </c>
      <c r="AD4" s="25">
        <v>4732780</v>
      </c>
      <c r="AE4" s="25">
        <v>2985430</v>
      </c>
      <c r="AF4" s="25"/>
      <c r="AG4" s="25">
        <v>402172</v>
      </c>
    </row>
    <row r="5" spans="1:33" ht="15" customHeight="1" x14ac:dyDescent="0.25">
      <c r="A5" s="21" t="s">
        <v>102</v>
      </c>
      <c r="B5" s="25">
        <v>23382</v>
      </c>
      <c r="C5" s="25">
        <v>65776</v>
      </c>
      <c r="D5" s="25">
        <v>709118.12</v>
      </c>
      <c r="E5" s="25">
        <v>1420626</v>
      </c>
      <c r="F5" s="25">
        <v>375681</v>
      </c>
      <c r="G5" s="25">
        <v>646301</v>
      </c>
      <c r="H5" s="25">
        <v>763303.62</v>
      </c>
      <c r="I5" s="25">
        <v>25705</v>
      </c>
      <c r="J5" s="25"/>
      <c r="K5" s="25"/>
      <c r="L5" s="25"/>
      <c r="M5" s="25"/>
      <c r="N5" s="25"/>
      <c r="O5" s="25"/>
      <c r="P5" s="25">
        <v>185123</v>
      </c>
      <c r="Q5" s="25"/>
      <c r="R5" s="25"/>
      <c r="S5" s="25">
        <v>67615</v>
      </c>
      <c r="T5" s="25"/>
      <c r="U5" s="25">
        <v>30037</v>
      </c>
      <c r="V5" s="25"/>
      <c r="W5" s="25">
        <v>952791</v>
      </c>
      <c r="X5" s="25">
        <v>145904</v>
      </c>
      <c r="Y5" s="25"/>
      <c r="Z5" s="25"/>
      <c r="AA5" s="25"/>
      <c r="AB5" s="25"/>
      <c r="AC5" s="25">
        <v>1046765</v>
      </c>
      <c r="AD5" s="25">
        <v>4244966</v>
      </c>
      <c r="AE5" s="25">
        <v>2128016</v>
      </c>
      <c r="AF5" s="25"/>
      <c r="AG5" s="25">
        <v>237997</v>
      </c>
    </row>
    <row r="6" spans="1:33" ht="15" customHeight="1" x14ac:dyDescent="0.25">
      <c r="A6" s="21" t="s">
        <v>104</v>
      </c>
      <c r="B6" s="25"/>
      <c r="C6" s="25"/>
      <c r="D6" s="25"/>
      <c r="E6" s="25"/>
      <c r="F6" s="25"/>
      <c r="G6" s="25"/>
      <c r="H6" s="25"/>
      <c r="I6" s="25"/>
      <c r="J6" s="25">
        <v>93199</v>
      </c>
      <c r="K6" s="25">
        <v>368073</v>
      </c>
      <c r="L6" s="25">
        <v>1043045</v>
      </c>
      <c r="M6" s="25">
        <v>2479364</v>
      </c>
      <c r="N6" s="25">
        <v>634770.96</v>
      </c>
      <c r="O6" s="25">
        <v>69872</v>
      </c>
      <c r="P6" s="25"/>
      <c r="Q6" s="25">
        <v>220113</v>
      </c>
      <c r="R6" s="25">
        <v>45506</v>
      </c>
      <c r="S6" s="25"/>
      <c r="T6" s="25"/>
      <c r="U6" s="25"/>
      <c r="V6" s="25">
        <v>34690</v>
      </c>
      <c r="W6" s="25"/>
      <c r="X6" s="25"/>
      <c r="Y6" s="25">
        <v>523603</v>
      </c>
      <c r="Z6" s="25">
        <v>828962</v>
      </c>
      <c r="AA6" s="25">
        <v>839323</v>
      </c>
      <c r="AB6" s="25">
        <v>42114</v>
      </c>
      <c r="AC6" s="25"/>
      <c r="AD6" s="25"/>
      <c r="AE6" s="25"/>
      <c r="AF6" s="25"/>
      <c r="AG6" s="25"/>
    </row>
    <row r="7" spans="1:33" ht="15" customHeight="1" x14ac:dyDescent="0.25">
      <c r="A7" s="21" t="s">
        <v>105</v>
      </c>
      <c r="B7" s="25"/>
      <c r="C7" s="25"/>
      <c r="D7" s="25">
        <v>68978.19</v>
      </c>
      <c r="E7" s="25"/>
      <c r="F7" s="25"/>
      <c r="G7" s="25"/>
      <c r="H7" s="25"/>
      <c r="I7" s="25"/>
      <c r="J7" s="25">
        <v>384939</v>
      </c>
      <c r="K7" s="25">
        <v>667</v>
      </c>
      <c r="L7" s="25"/>
      <c r="M7" s="25">
        <v>6709</v>
      </c>
      <c r="N7" s="25">
        <v>253756.15</v>
      </c>
      <c r="O7" s="25"/>
      <c r="P7" s="25"/>
      <c r="Q7" s="25">
        <v>46610</v>
      </c>
      <c r="R7" s="25">
        <v>5613</v>
      </c>
      <c r="S7" s="25"/>
      <c r="T7" s="25"/>
      <c r="U7" s="25"/>
      <c r="V7" s="25">
        <v>15260</v>
      </c>
      <c r="W7" s="25"/>
      <c r="X7" s="25"/>
      <c r="Y7" s="25"/>
      <c r="Z7" s="25"/>
      <c r="AA7" s="25"/>
      <c r="AB7" s="25">
        <v>603192</v>
      </c>
      <c r="AC7" s="25"/>
      <c r="AD7" s="25"/>
      <c r="AE7" s="25"/>
      <c r="AF7" s="25"/>
      <c r="AG7" s="25">
        <v>211</v>
      </c>
    </row>
    <row r="8" spans="1:33" ht="30" customHeight="1" x14ac:dyDescent="0.25">
      <c r="A8" s="21" t="s">
        <v>103</v>
      </c>
      <c r="B8" s="25">
        <v>13391</v>
      </c>
      <c r="C8" s="25">
        <v>44123</v>
      </c>
      <c r="D8" s="25">
        <v>1218089.8700000001</v>
      </c>
      <c r="E8" s="25">
        <v>344835</v>
      </c>
      <c r="F8" s="25">
        <v>167771</v>
      </c>
      <c r="G8" s="25">
        <v>236097</v>
      </c>
      <c r="H8" s="25">
        <v>37706.639999999999</v>
      </c>
      <c r="I8" s="25">
        <v>5968</v>
      </c>
      <c r="J8" s="25"/>
      <c r="K8" s="25">
        <v>108560</v>
      </c>
      <c r="L8" s="25">
        <v>446352</v>
      </c>
      <c r="M8" s="25">
        <v>520778</v>
      </c>
      <c r="N8" s="25">
        <v>72791.179999999993</v>
      </c>
      <c r="O8" s="25">
        <v>9</v>
      </c>
      <c r="P8" s="25">
        <v>61478</v>
      </c>
      <c r="Q8" s="25"/>
      <c r="R8" s="25"/>
      <c r="S8" s="25">
        <v>23118</v>
      </c>
      <c r="T8" s="25"/>
      <c r="U8" s="25">
        <v>5350</v>
      </c>
      <c r="V8" s="25"/>
      <c r="W8" s="25">
        <v>256306</v>
      </c>
      <c r="X8" s="25">
        <v>20183</v>
      </c>
      <c r="Y8" s="25">
        <v>63889</v>
      </c>
      <c r="Z8" s="25"/>
      <c r="AA8" s="25">
        <v>46145</v>
      </c>
      <c r="AB8" s="25"/>
      <c r="AC8" s="25">
        <v>283402</v>
      </c>
      <c r="AD8" s="25">
        <v>539653</v>
      </c>
      <c r="AE8" s="25">
        <v>125725</v>
      </c>
      <c r="AF8" s="25"/>
      <c r="AG8" s="25">
        <v>113937</v>
      </c>
    </row>
    <row r="9" spans="1:33" s="35" customFormat="1" ht="15" customHeight="1" x14ac:dyDescent="0.25">
      <c r="A9" s="14" t="s">
        <v>106</v>
      </c>
      <c r="B9" s="34"/>
      <c r="C9" s="34">
        <v>6294</v>
      </c>
      <c r="D9" s="34">
        <v>-18950.63</v>
      </c>
      <c r="E9" s="34">
        <v>31991</v>
      </c>
      <c r="F9" s="34">
        <v>-6880</v>
      </c>
      <c r="G9" s="34">
        <v>13208</v>
      </c>
      <c r="H9" s="34">
        <v>12833.95</v>
      </c>
      <c r="I9" s="34">
        <v>2308</v>
      </c>
      <c r="J9" s="34">
        <v>17296</v>
      </c>
      <c r="K9" s="34">
        <v>-17858</v>
      </c>
      <c r="L9" s="34"/>
      <c r="M9" s="34">
        <v>16205</v>
      </c>
      <c r="N9" s="34"/>
      <c r="O9" s="34">
        <v>4136</v>
      </c>
      <c r="P9" s="34">
        <v>1155</v>
      </c>
      <c r="Q9" s="34"/>
      <c r="R9" s="34">
        <v>5746</v>
      </c>
      <c r="S9" s="34">
        <v>7685</v>
      </c>
      <c r="T9" s="34"/>
      <c r="U9" s="34">
        <v>3225</v>
      </c>
      <c r="V9" s="34">
        <v>1960</v>
      </c>
      <c r="W9" s="34"/>
      <c r="X9" s="34"/>
      <c r="Y9" s="34">
        <v>-16911</v>
      </c>
      <c r="Z9" s="34">
        <v>53187</v>
      </c>
      <c r="AA9" s="34">
        <v>13261</v>
      </c>
      <c r="AB9" s="25"/>
      <c r="AC9" s="34">
        <v>-14206</v>
      </c>
      <c r="AD9" s="34">
        <v>-51839</v>
      </c>
      <c r="AE9" s="34">
        <v>731689</v>
      </c>
      <c r="AF9" s="34"/>
      <c r="AG9" s="34">
        <v>50028</v>
      </c>
    </row>
    <row r="10" spans="1:33" ht="15" customHeight="1" x14ac:dyDescent="0.25">
      <c r="A10" s="21" t="s">
        <v>107</v>
      </c>
      <c r="B10" s="25">
        <v>17044</v>
      </c>
      <c r="C10" s="25">
        <v>30071</v>
      </c>
      <c r="D10" s="25">
        <v>433540.11</v>
      </c>
      <c r="E10" s="25">
        <v>724879</v>
      </c>
      <c r="F10" s="25">
        <v>93855</v>
      </c>
      <c r="G10" s="25">
        <v>191491</v>
      </c>
      <c r="H10" s="25">
        <v>590178.77</v>
      </c>
      <c r="I10" s="25">
        <v>9665</v>
      </c>
      <c r="J10" s="25">
        <v>114991</v>
      </c>
      <c r="K10" s="25">
        <v>132862</v>
      </c>
      <c r="L10" s="25">
        <v>410809</v>
      </c>
      <c r="M10" s="25">
        <v>740458</v>
      </c>
      <c r="N10" s="25">
        <v>451659.21</v>
      </c>
      <c r="O10" s="25">
        <v>26083</v>
      </c>
      <c r="P10" s="25">
        <v>91864</v>
      </c>
      <c r="Q10" s="25">
        <v>53383</v>
      </c>
      <c r="R10" s="25">
        <v>35636</v>
      </c>
      <c r="S10" s="25">
        <v>90051</v>
      </c>
      <c r="T10" s="25"/>
      <c r="U10" s="25">
        <v>7378</v>
      </c>
      <c r="V10" s="25">
        <v>22821</v>
      </c>
      <c r="W10" s="25">
        <v>310497</v>
      </c>
      <c r="X10" s="25">
        <v>109532</v>
      </c>
      <c r="Y10" s="25">
        <v>144525</v>
      </c>
      <c r="Z10" s="25">
        <v>240549</v>
      </c>
      <c r="AA10" s="25">
        <v>191767</v>
      </c>
      <c r="AB10" s="25">
        <v>372222</v>
      </c>
      <c r="AC10" s="25">
        <v>396057</v>
      </c>
      <c r="AD10" s="25">
        <v>1981117</v>
      </c>
      <c r="AE10" s="25">
        <v>82214</v>
      </c>
      <c r="AF10" s="25"/>
      <c r="AG10" s="25">
        <v>58910</v>
      </c>
    </row>
    <row r="11" spans="1:33" ht="30" customHeight="1" x14ac:dyDescent="0.25">
      <c r="A11" s="21" t="s">
        <v>108</v>
      </c>
      <c r="B11" s="25">
        <v>4116</v>
      </c>
      <c r="C11" s="25"/>
      <c r="D11" s="25">
        <v>20264.71</v>
      </c>
      <c r="E11" s="25">
        <v>79297</v>
      </c>
      <c r="F11" s="25">
        <v>6635</v>
      </c>
      <c r="G11" s="25">
        <v>31154</v>
      </c>
      <c r="H11" s="25">
        <v>28445.360000000001</v>
      </c>
      <c r="I11" s="25">
        <v>1162</v>
      </c>
      <c r="J11" s="25">
        <v>39548</v>
      </c>
      <c r="K11" s="25"/>
      <c r="L11" s="25">
        <v>66744</v>
      </c>
      <c r="M11" s="25">
        <v>26933</v>
      </c>
      <c r="N11" s="25">
        <v>191338.98</v>
      </c>
      <c r="O11" s="25">
        <v>11390</v>
      </c>
      <c r="P11" s="25">
        <v>14549</v>
      </c>
      <c r="Q11" s="25">
        <v>15199</v>
      </c>
      <c r="R11" s="25">
        <v>10949</v>
      </c>
      <c r="S11" s="25">
        <v>41285</v>
      </c>
      <c r="T11" s="25"/>
      <c r="U11" s="25">
        <v>0.01</v>
      </c>
      <c r="V11" s="25">
        <v>4724</v>
      </c>
      <c r="W11" s="25">
        <v>102652</v>
      </c>
      <c r="X11" s="25">
        <v>32715</v>
      </c>
      <c r="Y11" s="25">
        <v>15691</v>
      </c>
      <c r="Z11" s="25">
        <v>26812</v>
      </c>
      <c r="AA11" s="25">
        <v>14518</v>
      </c>
      <c r="AB11" s="25">
        <f>39108+14035</f>
        <v>53143</v>
      </c>
      <c r="AC11" s="25">
        <v>65103</v>
      </c>
      <c r="AD11" s="25">
        <v>444051</v>
      </c>
      <c r="AE11" s="25">
        <v>243867</v>
      </c>
      <c r="AF11" s="25"/>
      <c r="AG11" s="25">
        <v>17410</v>
      </c>
    </row>
    <row r="12" spans="1:33" s="35" customFormat="1" x14ac:dyDescent="0.25">
      <c r="A12" s="14" t="s">
        <v>109</v>
      </c>
      <c r="B12" s="34">
        <v>12928</v>
      </c>
      <c r="C12" s="34">
        <v>30071</v>
      </c>
      <c r="D12" s="34">
        <v>413275.4</v>
      </c>
      <c r="E12" s="34">
        <v>645582</v>
      </c>
      <c r="F12" s="34">
        <v>87220</v>
      </c>
      <c r="G12" s="34">
        <v>160337</v>
      </c>
      <c r="H12" s="34">
        <v>561733.41</v>
      </c>
      <c r="I12" s="34">
        <v>8503</v>
      </c>
      <c r="J12" s="34">
        <v>75443</v>
      </c>
      <c r="K12" s="34">
        <v>132862</v>
      </c>
      <c r="L12" s="34">
        <v>344065</v>
      </c>
      <c r="M12" s="34">
        <v>713525</v>
      </c>
      <c r="N12" s="34">
        <v>260320.23</v>
      </c>
      <c r="O12" s="34">
        <v>14693</v>
      </c>
      <c r="P12" s="34">
        <v>77315</v>
      </c>
      <c r="Q12" s="34">
        <v>38184</v>
      </c>
      <c r="R12" s="34">
        <v>24687</v>
      </c>
      <c r="S12" s="34">
        <v>48766</v>
      </c>
      <c r="T12" s="94"/>
      <c r="U12" s="34">
        <v>7378</v>
      </c>
      <c r="V12" s="34">
        <v>18097</v>
      </c>
      <c r="W12" s="34">
        <v>207845</v>
      </c>
      <c r="X12" s="34">
        <v>76817</v>
      </c>
      <c r="Y12" s="34">
        <v>128834</v>
      </c>
      <c r="Z12" s="34">
        <v>213738</v>
      </c>
      <c r="AA12" s="34">
        <v>177249</v>
      </c>
      <c r="AB12" s="34">
        <v>319079</v>
      </c>
      <c r="AC12" s="34">
        <v>330954</v>
      </c>
      <c r="AD12" s="34">
        <v>1537066</v>
      </c>
      <c r="AE12" s="34">
        <v>-161653</v>
      </c>
      <c r="AF12" s="34"/>
      <c r="AG12" s="34">
        <v>41499</v>
      </c>
    </row>
    <row r="13" spans="1:33" s="7" customFormat="1" ht="15" customHeight="1" x14ac:dyDescent="0.25">
      <c r="A13" s="3" t="s">
        <v>110</v>
      </c>
      <c r="B13" s="10">
        <v>12928</v>
      </c>
      <c r="C13" s="10">
        <v>36365</v>
      </c>
      <c r="D13" s="10">
        <v>394324.77</v>
      </c>
      <c r="E13" s="10">
        <v>677573</v>
      </c>
      <c r="F13" s="10">
        <v>80341</v>
      </c>
      <c r="G13" s="10">
        <v>173545</v>
      </c>
      <c r="H13" s="10">
        <v>574567.36</v>
      </c>
      <c r="I13" s="10">
        <v>10811</v>
      </c>
      <c r="J13" s="10">
        <v>92739</v>
      </c>
      <c r="K13" s="10">
        <v>115004</v>
      </c>
      <c r="L13" s="10">
        <v>344065</v>
      </c>
      <c r="M13" s="10">
        <v>729730</v>
      </c>
      <c r="N13" s="10">
        <v>260320.23</v>
      </c>
      <c r="O13" s="10">
        <v>18829</v>
      </c>
      <c r="P13" s="10">
        <v>78469</v>
      </c>
      <c r="Q13" s="10">
        <v>38184</v>
      </c>
      <c r="R13" s="10">
        <v>30432</v>
      </c>
      <c r="S13" s="10">
        <v>56451</v>
      </c>
      <c r="T13" s="10"/>
      <c r="U13" s="10">
        <v>10603</v>
      </c>
      <c r="V13" s="10">
        <v>20057</v>
      </c>
      <c r="W13" s="10">
        <v>207845</v>
      </c>
      <c r="X13" s="10">
        <v>96999</v>
      </c>
      <c r="Y13" s="10">
        <v>111923</v>
      </c>
      <c r="Z13" s="10">
        <v>266925</v>
      </c>
      <c r="AA13" s="10">
        <v>190510</v>
      </c>
      <c r="AB13" s="10">
        <v>319079</v>
      </c>
      <c r="AC13" s="10">
        <v>316748</v>
      </c>
      <c r="AD13" s="10">
        <v>1485227</v>
      </c>
      <c r="AE13" s="10">
        <v>570036</v>
      </c>
      <c r="AF13" s="10"/>
      <c r="AG13" s="10">
        <v>91527</v>
      </c>
    </row>
    <row r="14" spans="1:33" s="7" customFormat="1" ht="14.25" customHeight="1" x14ac:dyDescent="0.25">
      <c r="A14" s="3" t="s">
        <v>111</v>
      </c>
      <c r="B14" s="10">
        <v>6756</v>
      </c>
      <c r="C14" s="10">
        <v>19986</v>
      </c>
      <c r="D14" s="10">
        <v>188903.03</v>
      </c>
      <c r="E14" s="10">
        <v>196316</v>
      </c>
      <c r="F14" s="10">
        <v>50504</v>
      </c>
      <c r="G14" s="10">
        <v>83534</v>
      </c>
      <c r="H14" s="10">
        <v>29840.98</v>
      </c>
      <c r="I14" s="10">
        <v>5179</v>
      </c>
      <c r="J14" s="10">
        <v>57661</v>
      </c>
      <c r="K14" s="10">
        <v>57290</v>
      </c>
      <c r="L14" s="10">
        <v>180946</v>
      </c>
      <c r="M14" s="10">
        <v>251884</v>
      </c>
      <c r="N14" s="10">
        <v>150337.5</v>
      </c>
      <c r="O14" s="10">
        <v>9681</v>
      </c>
      <c r="P14" s="98">
        <v>26903</v>
      </c>
      <c r="Q14" s="10">
        <v>21373</v>
      </c>
      <c r="R14" s="10">
        <v>14324</v>
      </c>
      <c r="S14" s="10">
        <v>26970</v>
      </c>
      <c r="T14" s="10"/>
      <c r="U14" s="10">
        <v>5000</v>
      </c>
      <c r="V14" s="10">
        <v>5485</v>
      </c>
      <c r="W14" s="10">
        <v>125708</v>
      </c>
      <c r="X14" s="10">
        <v>39617</v>
      </c>
      <c r="Y14" s="10">
        <v>59964</v>
      </c>
      <c r="Z14" s="10">
        <v>133397</v>
      </c>
      <c r="AA14" s="10">
        <v>52435</v>
      </c>
      <c r="AB14" s="10">
        <v>143589</v>
      </c>
      <c r="AC14" s="10">
        <v>142605</v>
      </c>
      <c r="AD14" s="10">
        <v>697379</v>
      </c>
      <c r="AE14" s="10">
        <v>375528</v>
      </c>
      <c r="AF14" s="10"/>
      <c r="AG14" s="10">
        <v>48239</v>
      </c>
    </row>
    <row r="15" spans="1:33" s="33" customFormat="1" ht="14.25" customHeight="1" x14ac:dyDescent="0.25">
      <c r="A15" s="15" t="s">
        <v>112</v>
      </c>
      <c r="B15" s="32">
        <v>1.91</v>
      </c>
      <c r="C15" s="32">
        <v>1.82</v>
      </c>
      <c r="D15" s="32">
        <v>2.09</v>
      </c>
      <c r="E15" s="32">
        <v>3.45</v>
      </c>
      <c r="F15" s="32">
        <v>1.59</v>
      </c>
      <c r="G15" s="32">
        <v>2.0779999999999998</v>
      </c>
      <c r="H15" s="32">
        <v>19.25</v>
      </c>
      <c r="I15" s="32">
        <v>2.09</v>
      </c>
      <c r="J15" s="32">
        <v>1.61</v>
      </c>
      <c r="K15" s="32">
        <v>2.0099999999999998</v>
      </c>
      <c r="L15" s="32">
        <v>1.9</v>
      </c>
      <c r="M15" s="32">
        <v>2.9</v>
      </c>
      <c r="N15" s="32">
        <v>1.73</v>
      </c>
      <c r="O15" s="32">
        <v>1.95</v>
      </c>
      <c r="P15" s="32">
        <v>2.92</v>
      </c>
      <c r="Q15" s="32">
        <v>1.79</v>
      </c>
      <c r="R15" s="32">
        <v>2.1246</v>
      </c>
      <c r="S15" s="32">
        <v>2.09</v>
      </c>
      <c r="T15" s="32"/>
      <c r="U15" s="32">
        <v>2.12</v>
      </c>
      <c r="V15" s="32">
        <v>3.66</v>
      </c>
      <c r="W15" s="32">
        <v>1.65</v>
      </c>
      <c r="X15" s="32">
        <v>2.4500000000000002</v>
      </c>
      <c r="Y15" s="32">
        <v>1.87</v>
      </c>
      <c r="Z15" s="32">
        <v>2</v>
      </c>
      <c r="AA15" s="32">
        <v>3.63</v>
      </c>
      <c r="AB15" s="32">
        <v>2.2200000000000002</v>
      </c>
      <c r="AC15" s="32">
        <v>2.2200000000000002</v>
      </c>
      <c r="AD15" s="32">
        <v>2.13</v>
      </c>
      <c r="AE15" s="32">
        <v>1.52</v>
      </c>
      <c r="AF15" s="32"/>
      <c r="AG15" s="32">
        <v>1.9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2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6" customWidth="1"/>
    <col min="2" max="26" width="16" style="6" customWidth="1"/>
    <col min="27" max="27" width="16" style="42" customWidth="1"/>
    <col min="28" max="28" width="16" style="6" customWidth="1"/>
    <col min="29" max="29" width="16" style="42" customWidth="1"/>
    <col min="30" max="58" width="16" style="6" customWidth="1"/>
    <col min="59" max="59" width="16" style="42" customWidth="1"/>
    <col min="60" max="60" width="16" style="6" customWidth="1"/>
    <col min="61" max="61" width="16" style="42" customWidth="1"/>
    <col min="62" max="114" width="16" style="6" customWidth="1"/>
    <col min="115" max="115" width="16" style="42" customWidth="1"/>
    <col min="116" max="116" width="16" style="6" customWidth="1"/>
    <col min="117" max="117" width="16" style="42" customWidth="1"/>
    <col min="118" max="129" width="16" style="6" customWidth="1"/>
    <col min="130" max="16384" width="9.140625" style="6"/>
  </cols>
  <sheetData>
    <row r="1" spans="1:129" ht="18.75" x14ac:dyDescent="0.3">
      <c r="A1" s="12" t="s">
        <v>113</v>
      </c>
    </row>
    <row r="2" spans="1:129" x14ac:dyDescent="0.25">
      <c r="A2" s="6" t="s">
        <v>114</v>
      </c>
    </row>
    <row r="3" spans="1:129" x14ac:dyDescent="0.25">
      <c r="A3" s="1" t="s">
        <v>0</v>
      </c>
      <c r="B3" s="131" t="s">
        <v>1</v>
      </c>
      <c r="C3" s="131"/>
      <c r="D3" s="131"/>
      <c r="E3" s="131"/>
      <c r="F3" s="131" t="s">
        <v>282</v>
      </c>
      <c r="G3" s="131"/>
      <c r="H3" s="131"/>
      <c r="I3" s="131"/>
      <c r="J3" s="131" t="s">
        <v>2</v>
      </c>
      <c r="K3" s="131"/>
      <c r="L3" s="131"/>
      <c r="M3" s="131"/>
      <c r="N3" s="131" t="s">
        <v>3</v>
      </c>
      <c r="O3" s="131"/>
      <c r="P3" s="131"/>
      <c r="Q3" s="131"/>
      <c r="R3" s="131" t="s">
        <v>4</v>
      </c>
      <c r="S3" s="131"/>
      <c r="T3" s="131"/>
      <c r="U3" s="131"/>
      <c r="V3" s="131" t="s">
        <v>283</v>
      </c>
      <c r="W3" s="131"/>
      <c r="X3" s="131"/>
      <c r="Y3" s="131"/>
      <c r="Z3" s="131" t="s">
        <v>6</v>
      </c>
      <c r="AA3" s="131"/>
      <c r="AB3" s="131"/>
      <c r="AC3" s="131"/>
      <c r="AD3" s="131" t="s">
        <v>5</v>
      </c>
      <c r="AE3" s="131"/>
      <c r="AF3" s="131"/>
      <c r="AG3" s="131"/>
      <c r="AH3" s="131" t="s">
        <v>7</v>
      </c>
      <c r="AI3" s="131"/>
      <c r="AJ3" s="131"/>
      <c r="AK3" s="131"/>
      <c r="AL3" s="131" t="s">
        <v>284</v>
      </c>
      <c r="AM3" s="131"/>
      <c r="AN3" s="131"/>
      <c r="AO3" s="131"/>
      <c r="AP3" s="131" t="s">
        <v>8</v>
      </c>
      <c r="AQ3" s="131"/>
      <c r="AR3" s="131"/>
      <c r="AS3" s="131"/>
      <c r="AT3" s="131" t="s">
        <v>9</v>
      </c>
      <c r="AU3" s="131"/>
      <c r="AV3" s="131"/>
      <c r="AW3" s="131"/>
      <c r="AX3" s="131" t="s">
        <v>10</v>
      </c>
      <c r="AY3" s="131"/>
      <c r="AZ3" s="131"/>
      <c r="BA3" s="131"/>
      <c r="BB3" s="131" t="s">
        <v>293</v>
      </c>
      <c r="BC3" s="131"/>
      <c r="BD3" s="131"/>
      <c r="BE3" s="131"/>
      <c r="BF3" s="131" t="s">
        <v>11</v>
      </c>
      <c r="BG3" s="131"/>
      <c r="BH3" s="131"/>
      <c r="BI3" s="131"/>
      <c r="BJ3" s="131" t="s">
        <v>12</v>
      </c>
      <c r="BK3" s="131"/>
      <c r="BL3" s="131"/>
      <c r="BM3" s="131"/>
      <c r="BN3" s="131" t="s">
        <v>285</v>
      </c>
      <c r="BO3" s="131"/>
      <c r="BP3" s="131"/>
      <c r="BQ3" s="131"/>
      <c r="BR3" s="131" t="s">
        <v>290</v>
      </c>
      <c r="BS3" s="131"/>
      <c r="BT3" s="131"/>
      <c r="BU3" s="131"/>
      <c r="BV3" s="131" t="s">
        <v>13</v>
      </c>
      <c r="BW3" s="131"/>
      <c r="BX3" s="131"/>
      <c r="BY3" s="131"/>
      <c r="BZ3" s="131" t="s">
        <v>286</v>
      </c>
      <c r="CA3" s="131"/>
      <c r="CB3" s="131"/>
      <c r="CC3" s="131"/>
      <c r="CD3" s="131" t="s">
        <v>287</v>
      </c>
      <c r="CE3" s="131"/>
      <c r="CF3" s="131"/>
      <c r="CG3" s="131"/>
      <c r="CH3" s="131" t="s">
        <v>291</v>
      </c>
      <c r="CI3" s="131"/>
      <c r="CJ3" s="131"/>
      <c r="CK3" s="131"/>
      <c r="CL3" s="131" t="s">
        <v>294</v>
      </c>
      <c r="CM3" s="131"/>
      <c r="CN3" s="131"/>
      <c r="CO3" s="131"/>
      <c r="CP3" s="131" t="s">
        <v>14</v>
      </c>
      <c r="CQ3" s="131"/>
      <c r="CR3" s="131"/>
      <c r="CS3" s="131"/>
      <c r="CT3" s="131" t="s">
        <v>15</v>
      </c>
      <c r="CU3" s="131"/>
      <c r="CV3" s="131"/>
      <c r="CW3" s="131"/>
      <c r="CX3" s="131" t="s">
        <v>16</v>
      </c>
      <c r="CY3" s="131"/>
      <c r="CZ3" s="131"/>
      <c r="DA3" s="131"/>
      <c r="DB3" s="131" t="s">
        <v>17</v>
      </c>
      <c r="DC3" s="131"/>
      <c r="DD3" s="131"/>
      <c r="DE3" s="131"/>
      <c r="DF3" s="131" t="s">
        <v>18</v>
      </c>
      <c r="DG3" s="131"/>
      <c r="DH3" s="131"/>
      <c r="DI3" s="131"/>
      <c r="DJ3" s="131" t="s">
        <v>288</v>
      </c>
      <c r="DK3" s="131"/>
      <c r="DL3" s="131"/>
      <c r="DM3" s="131"/>
      <c r="DN3" s="131" t="s">
        <v>289</v>
      </c>
      <c r="DO3" s="131"/>
      <c r="DP3" s="131"/>
      <c r="DQ3" s="131"/>
      <c r="DR3" s="133" t="s">
        <v>19</v>
      </c>
      <c r="DS3" s="133"/>
      <c r="DT3" s="133"/>
      <c r="DU3" s="133"/>
      <c r="DV3" s="125" t="s">
        <v>20</v>
      </c>
      <c r="DW3" s="125"/>
      <c r="DX3" s="125"/>
      <c r="DY3" s="125"/>
    </row>
    <row r="4" spans="1:129" ht="15" customHeight="1" x14ac:dyDescent="0.25">
      <c r="A4" s="1"/>
      <c r="B4" s="127" t="s">
        <v>296</v>
      </c>
      <c r="C4" s="127"/>
      <c r="D4" s="132" t="s">
        <v>297</v>
      </c>
      <c r="E4" s="132"/>
      <c r="F4" s="127" t="s">
        <v>296</v>
      </c>
      <c r="G4" s="127"/>
      <c r="H4" s="132" t="s">
        <v>297</v>
      </c>
      <c r="I4" s="132"/>
      <c r="J4" s="127" t="s">
        <v>296</v>
      </c>
      <c r="K4" s="127"/>
      <c r="L4" s="132" t="s">
        <v>297</v>
      </c>
      <c r="M4" s="132"/>
      <c r="N4" s="127" t="s">
        <v>296</v>
      </c>
      <c r="O4" s="127"/>
      <c r="P4" s="132" t="s">
        <v>297</v>
      </c>
      <c r="Q4" s="132"/>
      <c r="R4" s="127" t="s">
        <v>296</v>
      </c>
      <c r="S4" s="127"/>
      <c r="T4" s="132" t="s">
        <v>297</v>
      </c>
      <c r="U4" s="132"/>
      <c r="V4" s="127" t="s">
        <v>296</v>
      </c>
      <c r="W4" s="127"/>
      <c r="X4" s="132" t="s">
        <v>297</v>
      </c>
      <c r="Y4" s="132"/>
      <c r="Z4" s="127" t="s">
        <v>296</v>
      </c>
      <c r="AA4" s="127"/>
      <c r="AB4" s="132" t="s">
        <v>297</v>
      </c>
      <c r="AC4" s="132"/>
      <c r="AD4" s="127" t="s">
        <v>296</v>
      </c>
      <c r="AE4" s="127"/>
      <c r="AF4" s="132" t="s">
        <v>297</v>
      </c>
      <c r="AG4" s="132"/>
      <c r="AH4" s="127" t="s">
        <v>296</v>
      </c>
      <c r="AI4" s="127"/>
      <c r="AJ4" s="132" t="s">
        <v>297</v>
      </c>
      <c r="AK4" s="132"/>
      <c r="AL4" s="127" t="s">
        <v>296</v>
      </c>
      <c r="AM4" s="127"/>
      <c r="AN4" s="132" t="s">
        <v>297</v>
      </c>
      <c r="AO4" s="132"/>
      <c r="AP4" s="127" t="s">
        <v>296</v>
      </c>
      <c r="AQ4" s="127"/>
      <c r="AR4" s="132" t="s">
        <v>297</v>
      </c>
      <c r="AS4" s="132"/>
      <c r="AT4" s="127" t="s">
        <v>296</v>
      </c>
      <c r="AU4" s="127"/>
      <c r="AV4" s="132" t="s">
        <v>297</v>
      </c>
      <c r="AW4" s="132"/>
      <c r="AX4" s="127" t="s">
        <v>296</v>
      </c>
      <c r="AY4" s="127"/>
      <c r="AZ4" s="132" t="s">
        <v>297</v>
      </c>
      <c r="BA4" s="132"/>
      <c r="BB4" s="127" t="s">
        <v>296</v>
      </c>
      <c r="BC4" s="127"/>
      <c r="BD4" s="132" t="s">
        <v>297</v>
      </c>
      <c r="BE4" s="132"/>
      <c r="BF4" s="127" t="s">
        <v>296</v>
      </c>
      <c r="BG4" s="127"/>
      <c r="BH4" s="132" t="s">
        <v>297</v>
      </c>
      <c r="BI4" s="132"/>
      <c r="BJ4" s="127" t="s">
        <v>296</v>
      </c>
      <c r="BK4" s="127"/>
      <c r="BL4" s="132" t="s">
        <v>297</v>
      </c>
      <c r="BM4" s="132"/>
      <c r="BN4" s="127" t="s">
        <v>296</v>
      </c>
      <c r="BO4" s="127"/>
      <c r="BP4" s="132" t="s">
        <v>297</v>
      </c>
      <c r="BQ4" s="132"/>
      <c r="BR4" s="127" t="s">
        <v>296</v>
      </c>
      <c r="BS4" s="127"/>
      <c r="BT4" s="132" t="s">
        <v>297</v>
      </c>
      <c r="BU4" s="132"/>
      <c r="BV4" s="127" t="s">
        <v>296</v>
      </c>
      <c r="BW4" s="127"/>
      <c r="BX4" s="132" t="s">
        <v>297</v>
      </c>
      <c r="BY4" s="132"/>
      <c r="BZ4" s="127" t="s">
        <v>296</v>
      </c>
      <c r="CA4" s="127"/>
      <c r="CB4" s="132" t="s">
        <v>297</v>
      </c>
      <c r="CC4" s="132"/>
      <c r="CD4" s="127" t="s">
        <v>296</v>
      </c>
      <c r="CE4" s="127"/>
      <c r="CF4" s="132" t="s">
        <v>297</v>
      </c>
      <c r="CG4" s="132"/>
      <c r="CH4" s="127" t="s">
        <v>296</v>
      </c>
      <c r="CI4" s="127"/>
      <c r="CJ4" s="132" t="s">
        <v>297</v>
      </c>
      <c r="CK4" s="132"/>
      <c r="CL4" s="127" t="s">
        <v>296</v>
      </c>
      <c r="CM4" s="127"/>
      <c r="CN4" s="132" t="s">
        <v>297</v>
      </c>
      <c r="CO4" s="132"/>
      <c r="CP4" s="127" t="s">
        <v>296</v>
      </c>
      <c r="CQ4" s="127"/>
      <c r="CR4" s="132" t="s">
        <v>297</v>
      </c>
      <c r="CS4" s="132"/>
      <c r="CT4" s="127" t="s">
        <v>296</v>
      </c>
      <c r="CU4" s="127"/>
      <c r="CV4" s="132" t="s">
        <v>297</v>
      </c>
      <c r="CW4" s="132"/>
      <c r="CX4" s="127" t="s">
        <v>296</v>
      </c>
      <c r="CY4" s="127"/>
      <c r="CZ4" s="132" t="s">
        <v>297</v>
      </c>
      <c r="DA4" s="132"/>
      <c r="DB4" s="127" t="s">
        <v>296</v>
      </c>
      <c r="DC4" s="127"/>
      <c r="DD4" s="132" t="s">
        <v>297</v>
      </c>
      <c r="DE4" s="132"/>
      <c r="DF4" s="127" t="s">
        <v>296</v>
      </c>
      <c r="DG4" s="127"/>
      <c r="DH4" s="132" t="s">
        <v>297</v>
      </c>
      <c r="DI4" s="132"/>
      <c r="DJ4" s="127" t="s">
        <v>296</v>
      </c>
      <c r="DK4" s="127"/>
      <c r="DL4" s="132" t="s">
        <v>297</v>
      </c>
      <c r="DM4" s="132"/>
      <c r="DN4" s="127" t="s">
        <v>296</v>
      </c>
      <c r="DO4" s="127"/>
      <c r="DP4" s="132" t="s">
        <v>297</v>
      </c>
      <c r="DQ4" s="132"/>
      <c r="DR4" s="127" t="s">
        <v>296</v>
      </c>
      <c r="DS4" s="127"/>
      <c r="DT4" s="132" t="s">
        <v>297</v>
      </c>
      <c r="DU4" s="132"/>
      <c r="DV4" s="127" t="s">
        <v>296</v>
      </c>
      <c r="DW4" s="127"/>
      <c r="DX4" s="132" t="s">
        <v>297</v>
      </c>
      <c r="DY4" s="132"/>
    </row>
    <row r="5" spans="1:129" s="62" customFormat="1" x14ac:dyDescent="0.25">
      <c r="A5" s="61"/>
      <c r="B5" s="88" t="s">
        <v>124</v>
      </c>
      <c r="C5" s="88" t="s">
        <v>125</v>
      </c>
      <c r="D5" s="88" t="s">
        <v>124</v>
      </c>
      <c r="E5" s="88" t="s">
        <v>125</v>
      </c>
      <c r="F5" s="88" t="s">
        <v>124</v>
      </c>
      <c r="G5" s="88" t="s">
        <v>125</v>
      </c>
      <c r="H5" s="88" t="s">
        <v>124</v>
      </c>
      <c r="I5" s="88" t="s">
        <v>125</v>
      </c>
      <c r="J5" s="88" t="s">
        <v>124</v>
      </c>
      <c r="K5" s="88" t="s">
        <v>125</v>
      </c>
      <c r="L5" s="88" t="s">
        <v>124</v>
      </c>
      <c r="M5" s="88" t="s">
        <v>125</v>
      </c>
      <c r="N5" s="88" t="s">
        <v>124</v>
      </c>
      <c r="O5" s="88" t="s">
        <v>125</v>
      </c>
      <c r="P5" s="88" t="s">
        <v>124</v>
      </c>
      <c r="Q5" s="88" t="s">
        <v>125</v>
      </c>
      <c r="R5" s="88" t="s">
        <v>124</v>
      </c>
      <c r="S5" s="88" t="s">
        <v>125</v>
      </c>
      <c r="T5" s="88" t="s">
        <v>124</v>
      </c>
      <c r="U5" s="88" t="s">
        <v>125</v>
      </c>
      <c r="V5" s="88" t="s">
        <v>124</v>
      </c>
      <c r="W5" s="88" t="s">
        <v>125</v>
      </c>
      <c r="X5" s="88" t="s">
        <v>124</v>
      </c>
      <c r="Y5" s="88" t="s">
        <v>125</v>
      </c>
      <c r="Z5" s="88" t="s">
        <v>124</v>
      </c>
      <c r="AA5" s="88" t="s">
        <v>125</v>
      </c>
      <c r="AB5" s="88" t="s">
        <v>124</v>
      </c>
      <c r="AC5" s="88" t="s">
        <v>125</v>
      </c>
      <c r="AD5" s="88" t="s">
        <v>124</v>
      </c>
      <c r="AE5" s="88" t="s">
        <v>125</v>
      </c>
      <c r="AF5" s="88" t="s">
        <v>124</v>
      </c>
      <c r="AG5" s="88" t="s">
        <v>125</v>
      </c>
      <c r="AH5" s="88" t="s">
        <v>124</v>
      </c>
      <c r="AI5" s="88" t="s">
        <v>125</v>
      </c>
      <c r="AJ5" s="88" t="s">
        <v>124</v>
      </c>
      <c r="AK5" s="88" t="s">
        <v>125</v>
      </c>
      <c r="AL5" s="88" t="s">
        <v>124</v>
      </c>
      <c r="AM5" s="88" t="s">
        <v>125</v>
      </c>
      <c r="AN5" s="88" t="s">
        <v>124</v>
      </c>
      <c r="AO5" s="88" t="s">
        <v>125</v>
      </c>
      <c r="AP5" s="88" t="s">
        <v>124</v>
      </c>
      <c r="AQ5" s="88" t="s">
        <v>125</v>
      </c>
      <c r="AR5" s="88" t="s">
        <v>124</v>
      </c>
      <c r="AS5" s="88" t="s">
        <v>125</v>
      </c>
      <c r="AT5" s="88" t="s">
        <v>124</v>
      </c>
      <c r="AU5" s="88" t="s">
        <v>125</v>
      </c>
      <c r="AV5" s="88" t="s">
        <v>124</v>
      </c>
      <c r="AW5" s="88" t="s">
        <v>125</v>
      </c>
      <c r="AX5" s="88" t="s">
        <v>124</v>
      </c>
      <c r="AY5" s="88" t="s">
        <v>125</v>
      </c>
      <c r="AZ5" s="88" t="s">
        <v>124</v>
      </c>
      <c r="BA5" s="88" t="s">
        <v>125</v>
      </c>
      <c r="BB5" s="88" t="s">
        <v>124</v>
      </c>
      <c r="BC5" s="88" t="s">
        <v>125</v>
      </c>
      <c r="BD5" s="88" t="s">
        <v>124</v>
      </c>
      <c r="BE5" s="88" t="s">
        <v>125</v>
      </c>
      <c r="BF5" s="88" t="s">
        <v>124</v>
      </c>
      <c r="BG5" s="88" t="s">
        <v>125</v>
      </c>
      <c r="BH5" s="88" t="s">
        <v>124</v>
      </c>
      <c r="BI5" s="88" t="s">
        <v>125</v>
      </c>
      <c r="BJ5" s="88" t="s">
        <v>124</v>
      </c>
      <c r="BK5" s="88" t="s">
        <v>125</v>
      </c>
      <c r="BL5" s="88" t="s">
        <v>124</v>
      </c>
      <c r="BM5" s="88" t="s">
        <v>125</v>
      </c>
      <c r="BN5" s="88" t="s">
        <v>124</v>
      </c>
      <c r="BO5" s="88" t="s">
        <v>125</v>
      </c>
      <c r="BP5" s="88" t="s">
        <v>124</v>
      </c>
      <c r="BQ5" s="88" t="s">
        <v>125</v>
      </c>
      <c r="BR5" s="88" t="s">
        <v>124</v>
      </c>
      <c r="BS5" s="88" t="s">
        <v>125</v>
      </c>
      <c r="BT5" s="88" t="s">
        <v>124</v>
      </c>
      <c r="BU5" s="88" t="s">
        <v>125</v>
      </c>
      <c r="BV5" s="88" t="s">
        <v>124</v>
      </c>
      <c r="BW5" s="88" t="s">
        <v>125</v>
      </c>
      <c r="BX5" s="88" t="s">
        <v>124</v>
      </c>
      <c r="BY5" s="88" t="s">
        <v>125</v>
      </c>
      <c r="BZ5" s="88" t="s">
        <v>124</v>
      </c>
      <c r="CA5" s="88" t="s">
        <v>125</v>
      </c>
      <c r="CB5" s="88" t="s">
        <v>124</v>
      </c>
      <c r="CC5" s="88" t="s">
        <v>125</v>
      </c>
      <c r="CD5" s="88" t="s">
        <v>124</v>
      </c>
      <c r="CE5" s="88" t="s">
        <v>125</v>
      </c>
      <c r="CF5" s="88" t="s">
        <v>124</v>
      </c>
      <c r="CG5" s="88" t="s">
        <v>125</v>
      </c>
      <c r="CH5" s="88" t="s">
        <v>124</v>
      </c>
      <c r="CI5" s="88" t="s">
        <v>125</v>
      </c>
      <c r="CJ5" s="88" t="s">
        <v>124</v>
      </c>
      <c r="CK5" s="88" t="s">
        <v>125</v>
      </c>
      <c r="CL5" s="88" t="s">
        <v>124</v>
      </c>
      <c r="CM5" s="88" t="s">
        <v>125</v>
      </c>
      <c r="CN5" s="88" t="s">
        <v>124</v>
      </c>
      <c r="CO5" s="88" t="s">
        <v>125</v>
      </c>
      <c r="CP5" s="88" t="s">
        <v>124</v>
      </c>
      <c r="CQ5" s="88" t="s">
        <v>125</v>
      </c>
      <c r="CR5" s="88" t="s">
        <v>124</v>
      </c>
      <c r="CS5" s="88" t="s">
        <v>125</v>
      </c>
      <c r="CT5" s="88" t="s">
        <v>124</v>
      </c>
      <c r="CU5" s="88" t="s">
        <v>125</v>
      </c>
      <c r="CV5" s="88" t="s">
        <v>124</v>
      </c>
      <c r="CW5" s="88" t="s">
        <v>125</v>
      </c>
      <c r="CX5" s="88" t="s">
        <v>124</v>
      </c>
      <c r="CY5" s="88" t="s">
        <v>125</v>
      </c>
      <c r="CZ5" s="88" t="s">
        <v>124</v>
      </c>
      <c r="DA5" s="88" t="s">
        <v>125</v>
      </c>
      <c r="DB5" s="88" t="s">
        <v>124</v>
      </c>
      <c r="DC5" s="88" t="s">
        <v>125</v>
      </c>
      <c r="DD5" s="88" t="s">
        <v>124</v>
      </c>
      <c r="DE5" s="88" t="s">
        <v>125</v>
      </c>
      <c r="DF5" s="88" t="s">
        <v>124</v>
      </c>
      <c r="DG5" s="88" t="s">
        <v>125</v>
      </c>
      <c r="DH5" s="88" t="s">
        <v>124</v>
      </c>
      <c r="DI5" s="88" t="s">
        <v>125</v>
      </c>
      <c r="DJ5" s="88" t="s">
        <v>124</v>
      </c>
      <c r="DK5" s="88" t="s">
        <v>125</v>
      </c>
      <c r="DL5" s="88" t="s">
        <v>124</v>
      </c>
      <c r="DM5" s="88" t="s">
        <v>125</v>
      </c>
      <c r="DN5" s="88" t="s">
        <v>124</v>
      </c>
      <c r="DO5" s="88" t="s">
        <v>125</v>
      </c>
      <c r="DP5" s="88" t="s">
        <v>124</v>
      </c>
      <c r="DQ5" s="88" t="s">
        <v>125</v>
      </c>
      <c r="DR5" s="88" t="s">
        <v>124</v>
      </c>
      <c r="DS5" s="88" t="s">
        <v>125</v>
      </c>
      <c r="DT5" s="88" t="s">
        <v>124</v>
      </c>
      <c r="DU5" s="88" t="s">
        <v>125</v>
      </c>
      <c r="DV5" s="88" t="s">
        <v>124</v>
      </c>
      <c r="DW5" s="88" t="s">
        <v>125</v>
      </c>
      <c r="DX5" s="88" t="s">
        <v>124</v>
      </c>
      <c r="DY5" s="88" t="s">
        <v>125</v>
      </c>
    </row>
    <row r="6" spans="1:129" x14ac:dyDescent="0.25">
      <c r="A6" s="84" t="s">
        <v>115</v>
      </c>
      <c r="B6" s="84"/>
      <c r="C6" s="84"/>
      <c r="D6" s="84"/>
      <c r="E6" s="84"/>
      <c r="F6" s="84">
        <v>49582</v>
      </c>
      <c r="G6" s="84">
        <v>7484</v>
      </c>
      <c r="H6" s="84">
        <v>147476</v>
      </c>
      <c r="I6" s="84">
        <v>19747</v>
      </c>
      <c r="J6" s="103"/>
      <c r="K6" s="84"/>
      <c r="L6" s="84"/>
      <c r="M6" s="84"/>
      <c r="N6" s="84">
        <v>874789</v>
      </c>
      <c r="O6" s="84">
        <v>63249</v>
      </c>
      <c r="P6" s="84">
        <v>3319421</v>
      </c>
      <c r="Q6" s="84">
        <v>226252</v>
      </c>
      <c r="R6" s="84">
        <v>84934</v>
      </c>
      <c r="S6" s="84">
        <v>6019</v>
      </c>
      <c r="T6" s="84">
        <v>331441</v>
      </c>
      <c r="U6" s="84">
        <v>22906</v>
      </c>
      <c r="V6" s="84">
        <v>11368</v>
      </c>
      <c r="W6" s="84">
        <v>1314</v>
      </c>
      <c r="X6" s="84">
        <v>45730</v>
      </c>
      <c r="Y6" s="84">
        <v>5129</v>
      </c>
      <c r="Z6" s="84"/>
      <c r="AA6" s="84"/>
      <c r="AB6" s="84"/>
      <c r="AC6" s="84"/>
      <c r="AD6" s="84">
        <v>1715</v>
      </c>
      <c r="AE6" s="84">
        <v>210.12</v>
      </c>
      <c r="AF6" s="84">
        <v>6644</v>
      </c>
      <c r="AG6" s="84">
        <v>697.55</v>
      </c>
      <c r="AH6" s="84">
        <v>276289</v>
      </c>
      <c r="AI6" s="84">
        <v>21416.95</v>
      </c>
      <c r="AJ6" s="84">
        <v>961983</v>
      </c>
      <c r="AK6" s="84">
        <v>71175.460000000006</v>
      </c>
      <c r="AL6" s="118">
        <v>499845</v>
      </c>
      <c r="AM6" s="84">
        <v>17269</v>
      </c>
      <c r="AN6" s="84">
        <v>1610770</v>
      </c>
      <c r="AO6" s="84">
        <v>53196</v>
      </c>
      <c r="AP6" s="84">
        <v>498183</v>
      </c>
      <c r="AQ6" s="84">
        <v>78559.199999999997</v>
      </c>
      <c r="AR6" s="84">
        <v>1683948</v>
      </c>
      <c r="AS6" s="84">
        <v>245986.6</v>
      </c>
      <c r="AT6" s="84">
        <v>396279</v>
      </c>
      <c r="AU6" s="84">
        <v>45998</v>
      </c>
      <c r="AV6" s="84">
        <v>1448146</v>
      </c>
      <c r="AW6" s="84">
        <v>172424</v>
      </c>
      <c r="AX6" s="84">
        <v>1131335</v>
      </c>
      <c r="AY6" s="84">
        <v>62700.345009999997</v>
      </c>
      <c r="AZ6" s="84">
        <v>3692704</v>
      </c>
      <c r="BA6" s="84">
        <v>190095.95069999999</v>
      </c>
      <c r="BB6" s="84">
        <v>3880</v>
      </c>
      <c r="BC6" s="84">
        <v>515.13</v>
      </c>
      <c r="BD6" s="84">
        <v>12215</v>
      </c>
      <c r="BE6" s="84">
        <v>1561.37</v>
      </c>
      <c r="BF6" s="84">
        <v>29685</v>
      </c>
      <c r="BG6" s="84">
        <v>2858</v>
      </c>
      <c r="BH6" s="84">
        <v>120134</v>
      </c>
      <c r="BI6" s="84">
        <v>10757</v>
      </c>
      <c r="BJ6" s="84">
        <v>20521</v>
      </c>
      <c r="BK6" s="84">
        <v>1965</v>
      </c>
      <c r="BL6" s="84">
        <v>79900</v>
      </c>
      <c r="BM6" s="84">
        <v>7486</v>
      </c>
      <c r="BN6" s="103">
        <v>36930</v>
      </c>
      <c r="BO6" s="84">
        <v>6295</v>
      </c>
      <c r="BP6" s="84">
        <v>132318</v>
      </c>
      <c r="BQ6" s="84">
        <v>20583</v>
      </c>
      <c r="BR6" s="84">
        <v>113926</v>
      </c>
      <c r="BS6" s="84">
        <v>24617</v>
      </c>
      <c r="BT6" s="84">
        <v>70603</v>
      </c>
      <c r="BU6" s="84">
        <v>14621</v>
      </c>
      <c r="BV6" s="103">
        <v>2103634</v>
      </c>
      <c r="BW6" s="103">
        <v>180481.71270160004</v>
      </c>
      <c r="BX6" s="103">
        <v>7800565</v>
      </c>
      <c r="BY6" s="103">
        <v>606001.8808995001</v>
      </c>
      <c r="BZ6" s="84">
        <v>2316</v>
      </c>
      <c r="CA6" s="84">
        <v>23</v>
      </c>
      <c r="CB6" s="84">
        <v>29256</v>
      </c>
      <c r="CC6" s="84">
        <v>466</v>
      </c>
      <c r="CD6" s="84">
        <v>174824</v>
      </c>
      <c r="CE6" s="84">
        <v>308.08999999999997</v>
      </c>
      <c r="CF6" s="84">
        <v>194236</v>
      </c>
      <c r="CG6" s="84">
        <v>3569.41</v>
      </c>
      <c r="CH6" s="84">
        <v>390161</v>
      </c>
      <c r="CI6" s="84">
        <v>32063</v>
      </c>
      <c r="CJ6" s="84">
        <v>1421467</v>
      </c>
      <c r="CK6" s="84">
        <v>118042</v>
      </c>
      <c r="CL6" s="84">
        <v>274348</v>
      </c>
      <c r="CM6" s="84">
        <v>33602</v>
      </c>
      <c r="CN6" s="84">
        <v>694861</v>
      </c>
      <c r="CO6" s="84">
        <v>104071</v>
      </c>
      <c r="CP6" s="84"/>
      <c r="CQ6" s="84"/>
      <c r="CR6" s="84"/>
      <c r="CS6" s="84"/>
      <c r="CT6" s="84">
        <v>128741</v>
      </c>
      <c r="CU6" s="84">
        <v>25584</v>
      </c>
      <c r="CV6" s="84">
        <v>334565</v>
      </c>
      <c r="CW6" s="84">
        <v>58955</v>
      </c>
      <c r="CX6" s="84">
        <v>531214</v>
      </c>
      <c r="CY6" s="84">
        <v>22529.279999999999</v>
      </c>
      <c r="CZ6" s="84">
        <v>2033780</v>
      </c>
      <c r="DA6" s="84">
        <v>79176.13</v>
      </c>
      <c r="DB6" s="103">
        <v>1800358</v>
      </c>
      <c r="DC6" s="103">
        <v>255734</v>
      </c>
      <c r="DD6" s="103">
        <v>5915118</v>
      </c>
      <c r="DE6" s="103">
        <v>739744</v>
      </c>
      <c r="DF6" s="103">
        <v>368636</v>
      </c>
      <c r="DG6" s="103">
        <v>46622</v>
      </c>
      <c r="DH6" s="103">
        <v>1347426</v>
      </c>
      <c r="DI6" s="103">
        <v>184025</v>
      </c>
      <c r="DJ6" s="84">
        <v>7124162</v>
      </c>
      <c r="DK6" s="84">
        <v>284374</v>
      </c>
      <c r="DL6" s="84"/>
      <c r="DM6" s="84"/>
      <c r="DN6" s="103">
        <v>1311269</v>
      </c>
      <c r="DO6" s="103">
        <v>138211.39000000001</v>
      </c>
      <c r="DP6" s="103">
        <v>6255690</v>
      </c>
      <c r="DQ6" s="103">
        <v>511050.61</v>
      </c>
      <c r="DR6">
        <v>3379691</v>
      </c>
      <c r="DS6" s="84">
        <v>214484</v>
      </c>
      <c r="DT6" s="84">
        <v>12426102</v>
      </c>
      <c r="DU6" s="84">
        <v>765783</v>
      </c>
      <c r="DV6" s="103">
        <v>17888</v>
      </c>
      <c r="DW6" s="103">
        <v>2265</v>
      </c>
      <c r="DX6" s="103">
        <v>77384</v>
      </c>
      <c r="DY6" s="103">
        <v>8265</v>
      </c>
    </row>
    <row r="7" spans="1:129" x14ac:dyDescent="0.25">
      <c r="A7" s="84" t="s">
        <v>116</v>
      </c>
      <c r="B7" s="84"/>
      <c r="C7" s="84"/>
      <c r="D7" s="84">
        <v>4</v>
      </c>
      <c r="E7" s="84"/>
      <c r="F7" s="84">
        <v>90305</v>
      </c>
      <c r="G7" s="84">
        <v>13491</v>
      </c>
      <c r="H7" s="84">
        <v>355082</v>
      </c>
      <c r="I7" s="84">
        <v>45619</v>
      </c>
      <c r="J7" s="84"/>
      <c r="K7" s="84"/>
      <c r="L7" s="84"/>
      <c r="M7" s="84"/>
      <c r="N7" s="84">
        <v>4061270</v>
      </c>
      <c r="O7" s="84">
        <v>35734</v>
      </c>
      <c r="P7" s="84">
        <v>9404616</v>
      </c>
      <c r="Q7" s="84">
        <v>124709</v>
      </c>
      <c r="R7" s="84">
        <v>353117</v>
      </c>
      <c r="S7" s="84">
        <v>8109</v>
      </c>
      <c r="T7" s="84">
        <v>1197720</v>
      </c>
      <c r="U7" s="84">
        <v>26368</v>
      </c>
      <c r="V7" s="84">
        <v>443424</v>
      </c>
      <c r="W7" s="84">
        <v>33034</v>
      </c>
      <c r="X7" s="84">
        <v>1395352</v>
      </c>
      <c r="Y7" s="84">
        <v>120552</v>
      </c>
      <c r="Z7" s="84"/>
      <c r="AA7" s="84">
        <v>19.5</v>
      </c>
      <c r="AB7" s="84">
        <v>2</v>
      </c>
      <c r="AC7" s="84">
        <v>70.040000000000006</v>
      </c>
      <c r="AD7" s="84"/>
      <c r="AE7" s="84"/>
      <c r="AF7" s="84"/>
      <c r="AG7" s="84"/>
      <c r="AH7" s="84">
        <v>304503</v>
      </c>
      <c r="AI7" s="84">
        <v>7155.06</v>
      </c>
      <c r="AJ7" s="84">
        <v>1034672</v>
      </c>
      <c r="AK7" s="84">
        <v>21538.03</v>
      </c>
      <c r="AL7" s="84">
        <v>2300</v>
      </c>
      <c r="AM7" s="84">
        <v>127</v>
      </c>
      <c r="AN7" s="84">
        <v>5596</v>
      </c>
      <c r="AO7" s="84">
        <v>359</v>
      </c>
      <c r="AP7" s="84">
        <v>511989</v>
      </c>
      <c r="AQ7" s="84">
        <v>43775.1</v>
      </c>
      <c r="AR7" s="84">
        <v>1950603</v>
      </c>
      <c r="AS7" s="84">
        <v>156862.70000000001</v>
      </c>
      <c r="AT7" s="84">
        <v>306344</v>
      </c>
      <c r="AU7" s="84">
        <v>25522</v>
      </c>
      <c r="AV7" s="84">
        <v>889545</v>
      </c>
      <c r="AW7" s="84">
        <v>109727</v>
      </c>
      <c r="AX7" s="84">
        <v>69843</v>
      </c>
      <c r="AY7" s="84">
        <v>1895.628203</v>
      </c>
      <c r="AZ7" s="84">
        <v>295138</v>
      </c>
      <c r="BA7" s="84">
        <v>7962.1210460000002</v>
      </c>
      <c r="BB7" s="84">
        <v>17100</v>
      </c>
      <c r="BC7" s="84">
        <v>2254.7399999999998</v>
      </c>
      <c r="BD7" s="84">
        <v>100197</v>
      </c>
      <c r="BE7" s="84">
        <v>12757.37</v>
      </c>
      <c r="BF7" s="84">
        <v>30</v>
      </c>
      <c r="BG7" s="84">
        <v>0</v>
      </c>
      <c r="BH7" s="84">
        <v>86</v>
      </c>
      <c r="BI7" s="84">
        <v>2</v>
      </c>
      <c r="BJ7" s="84">
        <v>2669</v>
      </c>
      <c r="BK7" s="84">
        <v>31</v>
      </c>
      <c r="BL7" s="84">
        <v>9849</v>
      </c>
      <c r="BM7" s="84">
        <v>129</v>
      </c>
      <c r="BN7" s="103">
        <v>6590</v>
      </c>
      <c r="BO7" s="84">
        <v>4222</v>
      </c>
      <c r="BP7" s="84">
        <v>22079</v>
      </c>
      <c r="BQ7" s="84">
        <v>12519</v>
      </c>
      <c r="BR7" s="84">
        <v>56395</v>
      </c>
      <c r="BS7" s="84">
        <v>12551</v>
      </c>
      <c r="BT7" s="84">
        <v>30560</v>
      </c>
      <c r="BU7" s="84">
        <v>9356</v>
      </c>
      <c r="BV7" s="103">
        <v>11702</v>
      </c>
      <c r="BW7" s="103">
        <v>954.53814490000002</v>
      </c>
      <c r="BX7" s="103">
        <v>43313</v>
      </c>
      <c r="BY7" s="103">
        <v>2608.2933156999998</v>
      </c>
      <c r="BZ7" s="84"/>
      <c r="CA7" s="84"/>
      <c r="CB7" s="84"/>
      <c r="CC7" s="84"/>
      <c r="CD7" s="84"/>
      <c r="CE7" s="84"/>
      <c r="CF7" s="84"/>
      <c r="CG7" s="84"/>
      <c r="CH7" s="84">
        <v>123472</v>
      </c>
      <c r="CI7" s="84">
        <v>8462</v>
      </c>
      <c r="CJ7" s="84">
        <v>444830</v>
      </c>
      <c r="CK7" s="84">
        <v>27889</v>
      </c>
      <c r="CL7" s="84">
        <v>127517</v>
      </c>
      <c r="CM7" s="84">
        <v>16999</v>
      </c>
      <c r="CN7" s="84">
        <v>227357</v>
      </c>
      <c r="CO7" s="84">
        <v>51156</v>
      </c>
      <c r="CP7" s="84"/>
      <c r="CQ7" s="84"/>
      <c r="CR7" s="84"/>
      <c r="CS7" s="84"/>
      <c r="CT7" s="84">
        <v>1696465</v>
      </c>
      <c r="CU7" s="84">
        <v>82830</v>
      </c>
      <c r="CV7" s="84">
        <v>3688744</v>
      </c>
      <c r="CW7" s="84">
        <v>233658</v>
      </c>
      <c r="CX7" s="84">
        <v>7780</v>
      </c>
      <c r="CY7" s="84">
        <v>147.71</v>
      </c>
      <c r="CZ7" s="84">
        <v>29514</v>
      </c>
      <c r="DA7" s="84">
        <v>888.55</v>
      </c>
      <c r="DB7" s="103">
        <v>56138</v>
      </c>
      <c r="DC7" s="103">
        <v>7987</v>
      </c>
      <c r="DD7" s="103">
        <v>176315</v>
      </c>
      <c r="DE7" s="103">
        <v>22099</v>
      </c>
      <c r="DF7" s="103">
        <v>-251835</v>
      </c>
      <c r="DG7" s="103">
        <v>34165</v>
      </c>
      <c r="DH7" s="103">
        <v>1123934</v>
      </c>
      <c r="DI7" s="103">
        <v>108746</v>
      </c>
      <c r="DJ7" s="84">
        <v>168161</v>
      </c>
      <c r="DK7" s="84">
        <v>9527</v>
      </c>
      <c r="DL7" s="84"/>
      <c r="DM7" s="84"/>
      <c r="DN7" s="103">
        <v>99948</v>
      </c>
      <c r="DO7" s="103">
        <v>8997.86</v>
      </c>
      <c r="DP7" s="103">
        <v>391585</v>
      </c>
      <c r="DQ7" s="103">
        <v>28517.95</v>
      </c>
      <c r="DR7" s="84">
        <v>101698</v>
      </c>
      <c r="DS7" s="84">
        <v>4531</v>
      </c>
      <c r="DT7" s="84">
        <v>413595</v>
      </c>
      <c r="DU7" s="84">
        <v>31470</v>
      </c>
      <c r="DV7" s="103">
        <v>150134</v>
      </c>
      <c r="DW7" s="103">
        <v>6841</v>
      </c>
      <c r="DX7" s="103">
        <v>562461</v>
      </c>
      <c r="DY7" s="103">
        <v>32021</v>
      </c>
    </row>
    <row r="8" spans="1:129" x14ac:dyDescent="0.25">
      <c r="A8" s="84" t="s">
        <v>117</v>
      </c>
      <c r="B8" s="103">
        <v>44944</v>
      </c>
      <c r="C8" s="103">
        <v>1771</v>
      </c>
      <c r="D8" s="103">
        <v>146294</v>
      </c>
      <c r="E8" s="103">
        <v>4832</v>
      </c>
      <c r="F8" s="84">
        <v>749</v>
      </c>
      <c r="G8" s="84">
        <v>5614</v>
      </c>
      <c r="H8" s="84">
        <v>3775</v>
      </c>
      <c r="I8" s="84">
        <v>15623</v>
      </c>
      <c r="J8" s="84"/>
      <c r="K8" s="84"/>
      <c r="L8" s="84"/>
      <c r="M8" s="84"/>
      <c r="N8" s="84">
        <v>588535</v>
      </c>
      <c r="O8" s="84">
        <v>9009</v>
      </c>
      <c r="P8" s="84">
        <v>1992662</v>
      </c>
      <c r="Q8" s="84">
        <v>37787</v>
      </c>
      <c r="R8" s="84">
        <v>238247</v>
      </c>
      <c r="S8" s="84">
        <v>4857</v>
      </c>
      <c r="T8" s="84">
        <v>885790</v>
      </c>
      <c r="U8" s="84">
        <v>12094</v>
      </c>
      <c r="V8" s="84">
        <v>1053175</v>
      </c>
      <c r="W8" s="84">
        <v>53490</v>
      </c>
      <c r="X8" s="84">
        <v>3671303</v>
      </c>
      <c r="Y8" s="84">
        <v>178925</v>
      </c>
      <c r="Z8" s="84"/>
      <c r="AA8" s="84"/>
      <c r="AB8" s="84"/>
      <c r="AC8" s="84"/>
      <c r="AD8" s="84">
        <v>954</v>
      </c>
      <c r="AE8" s="84">
        <v>85.42</v>
      </c>
      <c r="AF8" s="84">
        <v>11515</v>
      </c>
      <c r="AG8" s="84">
        <v>546.25</v>
      </c>
      <c r="AH8" s="84">
        <v>14581</v>
      </c>
      <c r="AI8" s="84">
        <v>455.25</v>
      </c>
      <c r="AJ8" s="84">
        <v>49316</v>
      </c>
      <c r="AK8" s="84">
        <v>1364.27</v>
      </c>
      <c r="AL8" s="84">
        <v>14408</v>
      </c>
      <c r="AM8" s="84">
        <v>1562</v>
      </c>
      <c r="AN8" s="84">
        <v>36971</v>
      </c>
      <c r="AO8" s="84">
        <v>4596</v>
      </c>
      <c r="AP8" s="84">
        <v>90469</v>
      </c>
      <c r="AQ8" s="84">
        <v>20661.8</v>
      </c>
      <c r="AR8" s="84">
        <v>338626</v>
      </c>
      <c r="AS8" s="84">
        <v>58972.800000000003</v>
      </c>
      <c r="AT8" s="84">
        <v>73735</v>
      </c>
      <c r="AU8" s="84">
        <v>12676</v>
      </c>
      <c r="AV8" s="84">
        <v>259442</v>
      </c>
      <c r="AW8" s="84">
        <v>43846</v>
      </c>
      <c r="AX8" s="84">
        <v>13340</v>
      </c>
      <c r="AY8" s="84">
        <v>808.86265709999998</v>
      </c>
      <c r="AZ8" s="84">
        <v>54951</v>
      </c>
      <c r="BA8" s="84">
        <v>2732.4440979999999</v>
      </c>
      <c r="BB8" s="84">
        <v>63387</v>
      </c>
      <c r="BC8" s="84">
        <v>850.58</v>
      </c>
      <c r="BD8" s="84">
        <v>154422</v>
      </c>
      <c r="BE8" s="84">
        <v>2723.15</v>
      </c>
      <c r="BF8" s="84">
        <v>6896</v>
      </c>
      <c r="BG8" s="84">
        <v>939</v>
      </c>
      <c r="BH8" s="84">
        <v>19315</v>
      </c>
      <c r="BI8" s="84">
        <v>2364</v>
      </c>
      <c r="BJ8" s="84">
        <v>27170</v>
      </c>
      <c r="BK8" s="84">
        <v>3869</v>
      </c>
      <c r="BL8" s="84">
        <v>116199</v>
      </c>
      <c r="BM8" s="84">
        <v>13374</v>
      </c>
      <c r="BN8" s="103">
        <v>3226</v>
      </c>
      <c r="BO8" s="84">
        <v>1144</v>
      </c>
      <c r="BP8" s="84">
        <v>16324</v>
      </c>
      <c r="BQ8" s="84">
        <v>4044</v>
      </c>
      <c r="BR8" s="84">
        <v>224</v>
      </c>
      <c r="BS8" s="84">
        <v>3879</v>
      </c>
      <c r="BT8" s="84">
        <v>163</v>
      </c>
      <c r="BU8" s="84">
        <v>3104</v>
      </c>
      <c r="BV8" s="103">
        <v>996619</v>
      </c>
      <c r="BW8" s="103">
        <v>10075.405940999999</v>
      </c>
      <c r="BX8" s="103">
        <v>3525732</v>
      </c>
      <c r="BY8" s="103">
        <v>39015.676274900005</v>
      </c>
      <c r="BZ8" s="84">
        <v>72325</v>
      </c>
      <c r="CA8" s="84">
        <v>2359</v>
      </c>
      <c r="CB8" s="84">
        <v>121835</v>
      </c>
      <c r="CC8" s="84">
        <v>5416</v>
      </c>
      <c r="CD8" s="84"/>
      <c r="CE8" s="84"/>
      <c r="CF8" s="84"/>
      <c r="CG8" s="84"/>
      <c r="CH8" s="84">
        <v>46896</v>
      </c>
      <c r="CI8" s="84">
        <v>9857</v>
      </c>
      <c r="CJ8" s="84">
        <v>151656</v>
      </c>
      <c r="CK8" s="84">
        <v>30517</v>
      </c>
      <c r="CL8" s="84">
        <v>8721</v>
      </c>
      <c r="CM8" s="84">
        <v>2763</v>
      </c>
      <c r="CN8" s="84">
        <v>23090</v>
      </c>
      <c r="CO8" s="84">
        <v>8617</v>
      </c>
      <c r="CP8" s="84"/>
      <c r="CQ8" s="84"/>
      <c r="CR8" s="84"/>
      <c r="CS8" s="84"/>
      <c r="CT8" s="84">
        <v>40018</v>
      </c>
      <c r="CU8" s="84">
        <v>2715</v>
      </c>
      <c r="CV8" s="84">
        <v>104601</v>
      </c>
      <c r="CW8" s="84">
        <v>7205</v>
      </c>
      <c r="CX8" s="84">
        <v>277345</v>
      </c>
      <c r="CY8" s="84">
        <v>27189.45</v>
      </c>
      <c r="CZ8" s="84">
        <v>1069325</v>
      </c>
      <c r="DA8" s="84">
        <v>104024.08</v>
      </c>
      <c r="DB8" s="103">
        <v>3239</v>
      </c>
      <c r="DC8" s="103">
        <v>2111</v>
      </c>
      <c r="DD8" s="103">
        <v>15396</v>
      </c>
      <c r="DE8" s="103">
        <v>3340</v>
      </c>
      <c r="DF8" s="103">
        <v>-105752</v>
      </c>
      <c r="DG8" s="103">
        <v>5246</v>
      </c>
      <c r="DH8" s="103">
        <v>150080</v>
      </c>
      <c r="DI8" s="103">
        <v>18265</v>
      </c>
      <c r="DJ8" s="84">
        <v>4053593</v>
      </c>
      <c r="DK8" s="84">
        <v>54852</v>
      </c>
      <c r="DL8" s="84"/>
      <c r="DM8" s="84"/>
      <c r="DN8" s="103">
        <v>39408</v>
      </c>
      <c r="DO8" s="103">
        <v>3087.66</v>
      </c>
      <c r="DP8" s="103">
        <v>105518</v>
      </c>
      <c r="DQ8" s="103">
        <v>6736.77</v>
      </c>
      <c r="DR8" s="84">
        <v>11605</v>
      </c>
      <c r="DS8" s="84">
        <v>2712</v>
      </c>
      <c r="DT8" s="84">
        <v>40969</v>
      </c>
      <c r="DU8" s="84">
        <v>9418</v>
      </c>
      <c r="DV8" s="103">
        <v>81</v>
      </c>
      <c r="DW8" s="103">
        <v>4</v>
      </c>
      <c r="DX8" s="103">
        <v>852</v>
      </c>
      <c r="DY8" s="103">
        <v>233</v>
      </c>
    </row>
    <row r="9" spans="1:129" x14ac:dyDescent="0.25">
      <c r="A9" s="84" t="s">
        <v>118</v>
      </c>
      <c r="B9" s="103">
        <v>70860</v>
      </c>
      <c r="C9" s="103">
        <v>3625</v>
      </c>
      <c r="D9" s="103">
        <v>210017</v>
      </c>
      <c r="E9" s="103">
        <v>8871</v>
      </c>
      <c r="F9" s="84">
        <v>9440</v>
      </c>
      <c r="G9" s="84">
        <v>13650</v>
      </c>
      <c r="H9" s="84">
        <v>35219</v>
      </c>
      <c r="I9" s="84">
        <v>37603</v>
      </c>
      <c r="J9" s="103">
        <v>12301680</v>
      </c>
      <c r="K9" s="103">
        <v>160749.59</v>
      </c>
      <c r="L9" s="103">
        <v>12902284.800000001</v>
      </c>
      <c r="M9" s="103">
        <v>167589.53</v>
      </c>
      <c r="N9" s="84">
        <v>1639343</v>
      </c>
      <c r="O9" s="84">
        <v>142634</v>
      </c>
      <c r="P9" s="84">
        <v>6268453</v>
      </c>
      <c r="Q9" s="84">
        <v>526615</v>
      </c>
      <c r="R9" s="84">
        <v>816422</v>
      </c>
      <c r="S9" s="84">
        <v>39947</v>
      </c>
      <c r="T9" s="84">
        <v>2969607</v>
      </c>
      <c r="U9" s="84">
        <v>148103</v>
      </c>
      <c r="V9" s="84">
        <v>406469</v>
      </c>
      <c r="W9" s="84">
        <v>34320</v>
      </c>
      <c r="X9" s="84">
        <v>1070418</v>
      </c>
      <c r="Y9" s="84">
        <v>109592</v>
      </c>
      <c r="Z9" s="84">
        <v>185</v>
      </c>
      <c r="AA9" s="84">
        <v>3800.67</v>
      </c>
      <c r="AB9" s="84">
        <v>580</v>
      </c>
      <c r="AC9" s="84">
        <v>11257.41</v>
      </c>
      <c r="AD9" s="84">
        <v>15139</v>
      </c>
      <c r="AE9" s="84">
        <v>3244.59</v>
      </c>
      <c r="AF9" s="84">
        <v>44013</v>
      </c>
      <c r="AG9" s="84">
        <v>11680.51</v>
      </c>
      <c r="AH9" s="84">
        <v>175205</v>
      </c>
      <c r="AI9" s="84">
        <v>31160.9</v>
      </c>
      <c r="AJ9" s="84">
        <v>552579</v>
      </c>
      <c r="AK9" s="84">
        <v>106334.13</v>
      </c>
      <c r="AL9" s="84">
        <v>534876</v>
      </c>
      <c r="AM9" s="84">
        <v>30317</v>
      </c>
      <c r="AN9" s="84">
        <v>1451316</v>
      </c>
      <c r="AO9" s="84">
        <v>92095</v>
      </c>
      <c r="AP9" s="84">
        <v>1063665</v>
      </c>
      <c r="AQ9" s="84">
        <v>101135.2</v>
      </c>
      <c r="AR9" s="84">
        <v>3531609</v>
      </c>
      <c r="AS9" s="84">
        <v>349708.2</v>
      </c>
      <c r="AT9" s="84">
        <v>3287135</v>
      </c>
      <c r="AU9" s="84">
        <v>174214</v>
      </c>
      <c r="AV9" s="84">
        <v>12149451</v>
      </c>
      <c r="AW9" s="84">
        <v>707557</v>
      </c>
      <c r="AX9" s="84">
        <v>739221</v>
      </c>
      <c r="AY9" s="84">
        <v>88190.647719999994</v>
      </c>
      <c r="AZ9" s="84">
        <v>2461907</v>
      </c>
      <c r="BA9" s="84">
        <v>346198.29310000001</v>
      </c>
      <c r="BB9" s="84">
        <v>159345</v>
      </c>
      <c r="BC9" s="84">
        <v>4891.84</v>
      </c>
      <c r="BD9" s="84">
        <v>658881</v>
      </c>
      <c r="BE9" s="84">
        <v>13848.78</v>
      </c>
      <c r="BF9" s="84">
        <v>432978</v>
      </c>
      <c r="BG9" s="84">
        <v>29310</v>
      </c>
      <c r="BH9" s="84">
        <v>1503758</v>
      </c>
      <c r="BI9" s="84">
        <v>106297</v>
      </c>
      <c r="BJ9" s="84">
        <v>160926</v>
      </c>
      <c r="BK9" s="84">
        <v>23944</v>
      </c>
      <c r="BL9" s="84">
        <v>534376</v>
      </c>
      <c r="BM9" s="84">
        <v>62305</v>
      </c>
      <c r="BN9" s="103">
        <v>22480</v>
      </c>
      <c r="BO9" s="84">
        <v>6031</v>
      </c>
      <c r="BP9" s="84">
        <v>85517</v>
      </c>
      <c r="BQ9" s="84">
        <v>20353</v>
      </c>
      <c r="BR9" s="84">
        <v>53503</v>
      </c>
      <c r="BS9" s="84">
        <v>8830</v>
      </c>
      <c r="BT9" s="84">
        <v>33788</v>
      </c>
      <c r="BU9" s="84">
        <v>6418</v>
      </c>
      <c r="BV9" s="103">
        <v>373505</v>
      </c>
      <c r="BW9" s="103">
        <v>64254.744682199998</v>
      </c>
      <c r="BX9" s="103">
        <v>1455445</v>
      </c>
      <c r="BY9" s="103">
        <v>279728.20939090004</v>
      </c>
      <c r="BZ9" s="84">
        <v>6297</v>
      </c>
      <c r="CA9" s="84">
        <v>146</v>
      </c>
      <c r="CB9" s="84">
        <v>64650</v>
      </c>
      <c r="CC9" s="84">
        <v>1512</v>
      </c>
      <c r="CD9" s="84">
        <v>65439</v>
      </c>
      <c r="CE9" s="84">
        <v>7623.71</v>
      </c>
      <c r="CF9" s="84">
        <v>109302</v>
      </c>
      <c r="CG9" s="84">
        <v>17284.54</v>
      </c>
      <c r="CH9" s="84">
        <v>744511</v>
      </c>
      <c r="CI9" s="84">
        <v>63394</v>
      </c>
      <c r="CJ9" s="84">
        <v>2451275</v>
      </c>
      <c r="CK9" s="84">
        <v>250705</v>
      </c>
      <c r="CL9" s="84">
        <v>93992</v>
      </c>
      <c r="CM9" s="84">
        <v>18185</v>
      </c>
      <c r="CN9" s="84">
        <v>269523</v>
      </c>
      <c r="CO9" s="84">
        <v>65388</v>
      </c>
      <c r="CP9" s="84"/>
      <c r="CQ9" s="84"/>
      <c r="CR9" s="84"/>
      <c r="CS9" s="84"/>
      <c r="CT9" s="84">
        <v>335447</v>
      </c>
      <c r="CU9" s="84">
        <v>88501</v>
      </c>
      <c r="CV9" s="84">
        <v>886194</v>
      </c>
      <c r="CW9" s="84">
        <v>231467</v>
      </c>
      <c r="CX9" s="84">
        <v>116953</v>
      </c>
      <c r="CY9" s="84">
        <v>5684.91</v>
      </c>
      <c r="CZ9" s="84">
        <v>452425</v>
      </c>
      <c r="DA9" s="84">
        <v>22151.22</v>
      </c>
      <c r="DB9" s="103">
        <v>34092</v>
      </c>
      <c r="DC9" s="103">
        <v>26584</v>
      </c>
      <c r="DD9" s="103">
        <v>139045</v>
      </c>
      <c r="DE9" s="103">
        <v>69892</v>
      </c>
      <c r="DF9" s="103">
        <v>713809</v>
      </c>
      <c r="DG9" s="103">
        <v>76566</v>
      </c>
      <c r="DH9" s="103">
        <v>3357759</v>
      </c>
      <c r="DI9" s="103">
        <v>336197</v>
      </c>
      <c r="DJ9" s="84">
        <v>1179624</v>
      </c>
      <c r="DK9" s="84">
        <v>194572</v>
      </c>
      <c r="DL9" s="84"/>
      <c r="DM9" s="84"/>
      <c r="DN9" s="103">
        <v>367452</v>
      </c>
      <c r="DO9" s="103">
        <v>74485.759999999995</v>
      </c>
      <c r="DP9" s="103">
        <v>1062687</v>
      </c>
      <c r="DQ9" s="103">
        <v>294833.59000000003</v>
      </c>
      <c r="DR9" s="84">
        <v>261502</v>
      </c>
      <c r="DS9" s="84">
        <v>77815</v>
      </c>
      <c r="DT9" s="84">
        <v>1198409</v>
      </c>
      <c r="DU9" s="84">
        <v>290305</v>
      </c>
      <c r="DV9" s="103">
        <v>167295</v>
      </c>
      <c r="DW9" s="103">
        <v>17917</v>
      </c>
      <c r="DX9" s="103">
        <v>692686</v>
      </c>
      <c r="DY9" s="103">
        <v>78977</v>
      </c>
    </row>
    <row r="10" spans="1:129" x14ac:dyDescent="0.25">
      <c r="A10" s="84" t="s">
        <v>119</v>
      </c>
      <c r="B10" s="84"/>
      <c r="C10" s="84"/>
      <c r="D10" s="84"/>
      <c r="E10" s="84"/>
      <c r="F10" s="84"/>
      <c r="G10" s="84"/>
      <c r="H10" s="84"/>
      <c r="I10" s="84"/>
      <c r="J10" s="103">
        <v>7877</v>
      </c>
      <c r="K10" s="103">
        <v>427.13</v>
      </c>
      <c r="L10" s="103">
        <v>36593.199999999997</v>
      </c>
      <c r="M10" s="103">
        <v>1407.1</v>
      </c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>
        <v>7</v>
      </c>
      <c r="BA10" s="84">
        <v>5.54</v>
      </c>
      <c r="BB10" s="84">
        <v>9947</v>
      </c>
      <c r="BC10" s="84">
        <v>32.28</v>
      </c>
      <c r="BD10" s="84">
        <v>16250</v>
      </c>
      <c r="BE10" s="84">
        <v>54.65</v>
      </c>
      <c r="BF10" s="84"/>
      <c r="BG10" s="84"/>
      <c r="BH10" s="84"/>
      <c r="BI10" s="84"/>
      <c r="BJ10" s="84"/>
      <c r="BK10" s="84"/>
      <c r="BL10" s="84"/>
      <c r="BM10" s="84"/>
      <c r="BN10" s="103"/>
      <c r="BO10" s="84"/>
      <c r="BP10" s="84"/>
      <c r="BQ10" s="84"/>
      <c r="BR10" s="84"/>
      <c r="BS10" s="84"/>
      <c r="BT10" s="84"/>
      <c r="BU10" s="84"/>
      <c r="BV10" s="103"/>
      <c r="BW10" s="103"/>
      <c r="BX10" s="103"/>
      <c r="BY10" s="103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>
        <v>9</v>
      </c>
      <c r="CM10" s="84">
        <v>1762</v>
      </c>
      <c r="CN10" s="84">
        <v>27</v>
      </c>
      <c r="CO10" s="84">
        <v>2739</v>
      </c>
      <c r="CP10" s="84"/>
      <c r="CQ10" s="84"/>
      <c r="CR10" s="84"/>
      <c r="CS10" s="84"/>
      <c r="CT10" s="84"/>
      <c r="CU10" s="84"/>
      <c r="CV10" s="84"/>
      <c r="CW10" s="84"/>
      <c r="CX10" s="84"/>
      <c r="CY10" s="84"/>
      <c r="CZ10" s="84"/>
      <c r="DA10" s="84"/>
      <c r="DB10" s="103"/>
      <c r="DC10" s="103"/>
      <c r="DD10" s="103"/>
      <c r="DE10" s="103"/>
      <c r="DF10" s="84"/>
      <c r="DG10" s="84"/>
      <c r="DH10" s="84"/>
      <c r="DI10" s="84"/>
      <c r="DJ10" s="84">
        <v>47</v>
      </c>
      <c r="DK10" s="84">
        <v>1</v>
      </c>
      <c r="DL10" s="84"/>
      <c r="DM10" s="84"/>
      <c r="DN10" s="84"/>
      <c r="DO10" s="84"/>
      <c r="DP10" s="84"/>
      <c r="DQ10" s="84"/>
      <c r="DR10" s="84"/>
      <c r="DS10" s="84"/>
      <c r="DT10" s="84"/>
      <c r="DU10" s="84"/>
      <c r="DV10" s="103"/>
      <c r="DW10" s="103"/>
      <c r="DX10" s="103"/>
      <c r="DY10" s="103"/>
    </row>
    <row r="11" spans="1:129" x14ac:dyDescent="0.25">
      <c r="A11" s="84" t="s">
        <v>120</v>
      </c>
      <c r="B11" s="103">
        <v>228197</v>
      </c>
      <c r="C11" s="103">
        <v>8989</v>
      </c>
      <c r="D11" s="103">
        <v>732055</v>
      </c>
      <c r="E11" s="103">
        <v>28081</v>
      </c>
      <c r="F11" s="84">
        <v>23578</v>
      </c>
      <c r="G11" s="84">
        <v>3892</v>
      </c>
      <c r="H11" s="84">
        <v>80414</v>
      </c>
      <c r="I11" s="84">
        <v>11471</v>
      </c>
      <c r="J11" s="84">
        <v>4208</v>
      </c>
      <c r="K11" s="103">
        <v>711.16</v>
      </c>
      <c r="L11" s="103">
        <v>120345</v>
      </c>
      <c r="M11" s="103">
        <v>3073.55</v>
      </c>
      <c r="N11" s="84">
        <v>803540</v>
      </c>
      <c r="O11" s="84">
        <v>19010</v>
      </c>
      <c r="P11" s="84">
        <v>2866402</v>
      </c>
      <c r="Q11" s="84">
        <v>312390</v>
      </c>
      <c r="R11" s="84">
        <v>217601</v>
      </c>
      <c r="S11" s="84">
        <v>14122</v>
      </c>
      <c r="T11" s="84">
        <v>708337</v>
      </c>
      <c r="U11" s="84">
        <v>106520</v>
      </c>
      <c r="V11" s="84">
        <v>47254</v>
      </c>
      <c r="W11" s="84">
        <v>4862</v>
      </c>
      <c r="X11" s="84">
        <v>187622</v>
      </c>
      <c r="Y11" s="84">
        <v>24623</v>
      </c>
      <c r="Z11" s="84">
        <v>992</v>
      </c>
      <c r="AA11" s="84">
        <v>10141.959999999999</v>
      </c>
      <c r="AB11" s="84">
        <v>3893</v>
      </c>
      <c r="AC11" s="84">
        <v>31670.1</v>
      </c>
      <c r="AD11" s="84">
        <v>10041</v>
      </c>
      <c r="AE11" s="84">
        <v>1583.18</v>
      </c>
      <c r="AF11" s="84">
        <v>30655</v>
      </c>
      <c r="AG11" s="84">
        <v>4033.03</v>
      </c>
      <c r="AH11" s="84">
        <v>154440</v>
      </c>
      <c r="AI11" s="84">
        <v>45811.61</v>
      </c>
      <c r="AJ11" s="84">
        <v>518731</v>
      </c>
      <c r="AK11" s="84">
        <v>176096.23</v>
      </c>
      <c r="AL11" s="84">
        <v>572228</v>
      </c>
      <c r="AM11" s="84">
        <v>24493</v>
      </c>
      <c r="AN11" s="84">
        <v>1883325</v>
      </c>
      <c r="AO11" s="84">
        <v>82105</v>
      </c>
      <c r="AP11" s="84">
        <v>317887</v>
      </c>
      <c r="AQ11" s="84">
        <v>90361.9</v>
      </c>
      <c r="AR11" s="84">
        <v>1032704</v>
      </c>
      <c r="AS11" s="84">
        <v>346330.4</v>
      </c>
      <c r="AT11" s="84">
        <v>350925</v>
      </c>
      <c r="AU11" s="84">
        <v>55510</v>
      </c>
      <c r="AV11" s="84">
        <v>1275770</v>
      </c>
      <c r="AW11" s="84">
        <v>247710</v>
      </c>
      <c r="AX11" s="84">
        <v>99743</v>
      </c>
      <c r="AY11" s="84">
        <v>35373.436580000001</v>
      </c>
      <c r="AZ11" s="84">
        <v>440473</v>
      </c>
      <c r="BA11" s="84">
        <v>264982.24339999998</v>
      </c>
      <c r="BB11" s="84">
        <v>414025</v>
      </c>
      <c r="BC11" s="84">
        <v>5885.25</v>
      </c>
      <c r="BD11" s="84">
        <v>1043900</v>
      </c>
      <c r="BE11" s="84">
        <v>17247.439999999999</v>
      </c>
      <c r="BF11" s="84">
        <v>134476</v>
      </c>
      <c r="BG11" s="84">
        <v>2224</v>
      </c>
      <c r="BH11" s="84">
        <v>349607</v>
      </c>
      <c r="BI11" s="84">
        <v>7727</v>
      </c>
      <c r="BJ11" s="84">
        <v>21993</v>
      </c>
      <c r="BK11" s="84">
        <v>2884</v>
      </c>
      <c r="BL11" s="84">
        <v>87257</v>
      </c>
      <c r="BM11" s="84">
        <v>8887</v>
      </c>
      <c r="BN11" s="103">
        <v>9535</v>
      </c>
      <c r="BO11" s="84">
        <v>4960</v>
      </c>
      <c r="BP11" s="84">
        <v>47403</v>
      </c>
      <c r="BQ11" s="84">
        <v>17781</v>
      </c>
      <c r="BR11" s="84">
        <v>44884</v>
      </c>
      <c r="BS11" s="84">
        <v>10174</v>
      </c>
      <c r="BT11" s="84">
        <v>31353</v>
      </c>
      <c r="BU11" s="84">
        <v>7437</v>
      </c>
      <c r="BV11" s="103">
        <v>86727</v>
      </c>
      <c r="BW11" s="103">
        <v>101283.10512749993</v>
      </c>
      <c r="BX11" s="103">
        <v>338087</v>
      </c>
      <c r="BY11" s="103">
        <v>468843.78031649993</v>
      </c>
      <c r="BZ11" s="84">
        <f>38+8634</f>
        <v>8672</v>
      </c>
      <c r="CA11" s="84">
        <v>156</v>
      </c>
      <c r="CB11" s="84">
        <f>2679+40463</f>
        <v>43142</v>
      </c>
      <c r="CC11" s="84">
        <f>54+988</f>
        <v>1042</v>
      </c>
      <c r="CD11" s="84">
        <v>-161460</v>
      </c>
      <c r="CE11" s="84">
        <v>1280.73</v>
      </c>
      <c r="CF11" s="84">
        <v>25258</v>
      </c>
      <c r="CG11" s="84">
        <v>6367.57</v>
      </c>
      <c r="CH11" s="84">
        <v>123984</v>
      </c>
      <c r="CI11" s="84">
        <v>68188</v>
      </c>
      <c r="CJ11" s="84">
        <v>467304</v>
      </c>
      <c r="CK11" s="84">
        <v>346712</v>
      </c>
      <c r="CL11" s="84">
        <v>67654</v>
      </c>
      <c r="CM11" s="84">
        <v>7113</v>
      </c>
      <c r="CN11" s="84">
        <v>161954</v>
      </c>
      <c r="CO11" s="84">
        <v>24004</v>
      </c>
      <c r="CP11" s="84"/>
      <c r="CQ11" s="84"/>
      <c r="CR11" s="84"/>
      <c r="CS11" s="84"/>
      <c r="CT11" s="84">
        <v>1148021</v>
      </c>
      <c r="CU11" s="84">
        <v>95750</v>
      </c>
      <c r="CV11" s="84">
        <v>3472534</v>
      </c>
      <c r="CW11" s="84">
        <v>291949</v>
      </c>
      <c r="CX11" s="84">
        <v>53655</v>
      </c>
      <c r="CY11" s="84">
        <v>2189.4299999999998</v>
      </c>
      <c r="CZ11" s="84">
        <v>278404</v>
      </c>
      <c r="DA11" s="84">
        <v>6964.08</v>
      </c>
      <c r="DB11" s="103">
        <v>170605</v>
      </c>
      <c r="DC11" s="103">
        <v>27587</v>
      </c>
      <c r="DD11" s="103">
        <v>620320</v>
      </c>
      <c r="DE11" s="103">
        <v>85053</v>
      </c>
      <c r="DF11" s="103">
        <v>-469321</v>
      </c>
      <c r="DG11" s="103">
        <v>20463</v>
      </c>
      <c r="DH11" s="103">
        <v>693089</v>
      </c>
      <c r="DI11" s="103">
        <v>87304</v>
      </c>
      <c r="DJ11" s="84">
        <v>-4558247</v>
      </c>
      <c r="DK11" s="84">
        <v>241405</v>
      </c>
      <c r="DL11" s="84"/>
      <c r="DM11" s="84"/>
      <c r="DN11" s="103">
        <v>179254</v>
      </c>
      <c r="DO11" s="103">
        <v>89942</v>
      </c>
      <c r="DP11" s="103">
        <v>829384</v>
      </c>
      <c r="DQ11" s="103">
        <v>370229</v>
      </c>
      <c r="DR11" s="84">
        <v>171823</v>
      </c>
      <c r="DS11" s="84">
        <v>99084</v>
      </c>
      <c r="DT11" s="84">
        <v>619333</v>
      </c>
      <c r="DU11" s="84">
        <v>468781</v>
      </c>
      <c r="DV11" s="103">
        <v>914982</v>
      </c>
      <c r="DW11" s="103">
        <v>60166</v>
      </c>
      <c r="DX11" s="103">
        <v>1054679</v>
      </c>
      <c r="DY11" s="103">
        <v>185720</v>
      </c>
    </row>
    <row r="12" spans="1:129" x14ac:dyDescent="0.25">
      <c r="A12" s="84" t="s">
        <v>32</v>
      </c>
      <c r="B12" s="84">
        <f>B13-B11-B10-B9-B8-B7-B6</f>
        <v>6642</v>
      </c>
      <c r="C12" s="84">
        <f t="shared" ref="C12:BJ12" si="0">C13-C11-C10-C9-C8-C7-C6</f>
        <v>123</v>
      </c>
      <c r="D12" s="84">
        <f t="shared" si="0"/>
        <v>9447</v>
      </c>
      <c r="E12" s="84">
        <f t="shared" si="0"/>
        <v>455</v>
      </c>
      <c r="F12" s="84">
        <f t="shared" si="0"/>
        <v>0</v>
      </c>
      <c r="G12" s="84">
        <f t="shared" si="0"/>
        <v>0</v>
      </c>
      <c r="H12" s="84">
        <f t="shared" si="0"/>
        <v>0</v>
      </c>
      <c r="I12" s="84">
        <f t="shared" si="0"/>
        <v>1</v>
      </c>
      <c r="J12" s="84">
        <f t="shared" si="0"/>
        <v>969129</v>
      </c>
      <c r="K12" s="84">
        <f t="shared" si="0"/>
        <v>147166.70500000005</v>
      </c>
      <c r="L12" s="84">
        <f t="shared" si="0"/>
        <v>28721947.999999996</v>
      </c>
      <c r="M12" s="84">
        <f t="shared" si="0"/>
        <v>1033187.2599999998</v>
      </c>
      <c r="N12" s="84">
        <f t="shared" si="0"/>
        <v>312140</v>
      </c>
      <c r="O12" s="84">
        <f t="shared" si="0"/>
        <v>7932</v>
      </c>
      <c r="P12" s="84">
        <f t="shared" si="0"/>
        <v>1121885</v>
      </c>
      <c r="Q12" s="84">
        <f t="shared" si="0"/>
        <v>29200</v>
      </c>
      <c r="R12" s="84">
        <f t="shared" si="0"/>
        <v>0</v>
      </c>
      <c r="S12" s="84">
        <f t="shared" si="0"/>
        <v>1</v>
      </c>
      <c r="T12" s="84">
        <f>T13-T11-T10-T9-T8-T7-T6</f>
        <v>0</v>
      </c>
      <c r="U12" s="84">
        <f>U13-U11-U10-U9-U8-U7-U6</f>
        <v>-1</v>
      </c>
      <c r="V12" s="84">
        <f t="shared" si="0"/>
        <v>0</v>
      </c>
      <c r="W12" s="84">
        <f t="shared" si="0"/>
        <v>0</v>
      </c>
      <c r="X12" s="84">
        <f t="shared" si="0"/>
        <v>0</v>
      </c>
      <c r="Y12" s="84">
        <f t="shared" si="0"/>
        <v>0</v>
      </c>
      <c r="Z12" s="84">
        <f t="shared" si="0"/>
        <v>0</v>
      </c>
      <c r="AA12" s="84">
        <f t="shared" si="0"/>
        <v>0</v>
      </c>
      <c r="AB12" s="84">
        <f t="shared" si="0"/>
        <v>0</v>
      </c>
      <c r="AC12" s="84">
        <f t="shared" si="0"/>
        <v>4.5048409447190352E-12</v>
      </c>
      <c r="AD12" s="84">
        <f t="shared" si="0"/>
        <v>30319</v>
      </c>
      <c r="AE12" s="84">
        <f t="shared" si="0"/>
        <v>1357.8799999999992</v>
      </c>
      <c r="AF12" s="84">
        <f t="shared" si="0"/>
        <v>95331</v>
      </c>
      <c r="AG12" s="84">
        <f t="shared" si="0"/>
        <v>4900.0400000000018</v>
      </c>
      <c r="AH12" s="84">
        <f t="shared" si="0"/>
        <v>26241</v>
      </c>
      <c r="AI12" s="84">
        <f t="shared" si="0"/>
        <v>1999.3399999999965</v>
      </c>
      <c r="AJ12" s="84">
        <f t="shared" si="0"/>
        <v>97209</v>
      </c>
      <c r="AK12" s="84">
        <f t="shared" si="0"/>
        <v>7015.2999999999593</v>
      </c>
      <c r="AL12" s="84">
        <f t="shared" si="0"/>
        <v>191634</v>
      </c>
      <c r="AM12" s="84">
        <f t="shared" si="0"/>
        <v>2671</v>
      </c>
      <c r="AN12" s="84">
        <f t="shared" si="0"/>
        <v>569515</v>
      </c>
      <c r="AO12" s="84">
        <f t="shared" si="0"/>
        <v>9411</v>
      </c>
      <c r="AP12" s="84">
        <f t="shared" si="0"/>
        <v>469646</v>
      </c>
      <c r="AQ12" s="84">
        <f t="shared" si="0"/>
        <v>20447.699999999997</v>
      </c>
      <c r="AR12" s="84">
        <f t="shared" si="0"/>
        <v>1667226</v>
      </c>
      <c r="AS12" s="84">
        <f t="shared" si="0"/>
        <v>71649.599999999948</v>
      </c>
      <c r="AT12" s="84">
        <f t="shared" si="0"/>
        <v>1646201</v>
      </c>
      <c r="AU12" s="84">
        <f t="shared" si="0"/>
        <v>33882</v>
      </c>
      <c r="AV12" s="84">
        <f t="shared" si="0"/>
        <v>5710722</v>
      </c>
      <c r="AW12" s="84">
        <f t="shared" si="0"/>
        <v>119045</v>
      </c>
      <c r="AX12" s="84">
        <f t="shared" si="0"/>
        <v>528208</v>
      </c>
      <c r="AY12" s="84">
        <f t="shared" si="0"/>
        <v>8124.7225298999911</v>
      </c>
      <c r="AZ12" s="84">
        <f t="shared" si="0"/>
        <v>1888397</v>
      </c>
      <c r="BA12" s="84">
        <f t="shared" si="0"/>
        <v>29111.74125599995</v>
      </c>
      <c r="BB12" s="84">
        <f t="shared" si="0"/>
        <v>73607</v>
      </c>
      <c r="BC12" s="84">
        <f t="shared" si="0"/>
        <v>1738.4700000000003</v>
      </c>
      <c r="BD12" s="84">
        <f t="shared" si="0"/>
        <v>274656</v>
      </c>
      <c r="BE12" s="84">
        <f t="shared" si="0"/>
        <v>6206.4700000000057</v>
      </c>
      <c r="BF12" s="84">
        <f t="shared" si="0"/>
        <v>190962</v>
      </c>
      <c r="BG12" s="84">
        <f t="shared" si="0"/>
        <v>4635</v>
      </c>
      <c r="BH12" s="84">
        <f t="shared" si="0"/>
        <v>664535</v>
      </c>
      <c r="BI12" s="84">
        <f t="shared" si="0"/>
        <v>17424</v>
      </c>
      <c r="BJ12" s="84">
        <f t="shared" si="0"/>
        <v>213091</v>
      </c>
      <c r="BK12" s="84">
        <f t="shared" ref="BK12:DV12" si="1">BK13-BK11-BK10-BK9-BK8-BK7-BK6</f>
        <v>10481</v>
      </c>
      <c r="BL12" s="84">
        <f t="shared" si="1"/>
        <v>755963</v>
      </c>
      <c r="BM12" s="84">
        <f t="shared" si="1"/>
        <v>36178</v>
      </c>
      <c r="BN12" s="103">
        <f t="shared" si="1"/>
        <v>248</v>
      </c>
      <c r="BO12" s="84">
        <f t="shared" si="1"/>
        <v>64</v>
      </c>
      <c r="BP12" s="84">
        <f t="shared" si="1"/>
        <v>1341</v>
      </c>
      <c r="BQ12" s="84">
        <f t="shared" si="1"/>
        <v>269</v>
      </c>
      <c r="BR12" s="84">
        <f t="shared" si="1"/>
        <v>0</v>
      </c>
      <c r="BS12" s="84">
        <f t="shared" si="1"/>
        <v>0</v>
      </c>
      <c r="BT12" s="84">
        <f t="shared" si="1"/>
        <v>0</v>
      </c>
      <c r="BU12" s="84">
        <f t="shared" si="1"/>
        <v>0</v>
      </c>
      <c r="BV12" s="103">
        <f t="shared" si="1"/>
        <v>0</v>
      </c>
      <c r="BW12" s="103">
        <f t="shared" si="1"/>
        <v>0.49340280002797954</v>
      </c>
      <c r="BX12" s="103">
        <f t="shared" si="1"/>
        <v>0</v>
      </c>
      <c r="BY12" s="103">
        <f t="shared" si="1"/>
        <v>0.15980249980930239</v>
      </c>
      <c r="BZ12" s="84">
        <f t="shared" si="1"/>
        <v>15474</v>
      </c>
      <c r="CA12" s="84">
        <f t="shared" si="1"/>
        <v>517</v>
      </c>
      <c r="CB12" s="84">
        <f t="shared" si="1"/>
        <v>57204</v>
      </c>
      <c r="CC12" s="84">
        <f t="shared" si="1"/>
        <v>2004</v>
      </c>
      <c r="CD12" s="84">
        <f t="shared" si="1"/>
        <v>0</v>
      </c>
      <c r="CE12" s="84">
        <f t="shared" si="1"/>
        <v>1.0800249583553523E-12</v>
      </c>
      <c r="CF12" s="84">
        <f t="shared" si="1"/>
        <v>0</v>
      </c>
      <c r="CG12" s="84">
        <f t="shared" si="1"/>
        <v>0</v>
      </c>
      <c r="CH12" s="84">
        <f t="shared" si="1"/>
        <v>316282</v>
      </c>
      <c r="CI12" s="84">
        <f t="shared" si="1"/>
        <v>18840</v>
      </c>
      <c r="CJ12" s="84">
        <f t="shared" si="1"/>
        <v>1042110</v>
      </c>
      <c r="CK12" s="84">
        <f t="shared" si="1"/>
        <v>57163</v>
      </c>
      <c r="CL12" s="84">
        <f t="shared" si="1"/>
        <v>0</v>
      </c>
      <c r="CM12" s="84">
        <f t="shared" si="1"/>
        <v>1</v>
      </c>
      <c r="CN12" s="84">
        <f t="shared" si="1"/>
        <v>0</v>
      </c>
      <c r="CO12" s="84">
        <f t="shared" si="1"/>
        <v>0</v>
      </c>
      <c r="CP12" s="84">
        <f t="shared" si="1"/>
        <v>0</v>
      </c>
      <c r="CQ12" s="84">
        <f t="shared" si="1"/>
        <v>0</v>
      </c>
      <c r="CR12" s="84">
        <f t="shared" si="1"/>
        <v>0</v>
      </c>
      <c r="CS12" s="84">
        <f t="shared" si="1"/>
        <v>0</v>
      </c>
      <c r="CT12" s="84">
        <f t="shared" si="1"/>
        <v>0</v>
      </c>
      <c r="CU12" s="84">
        <f t="shared" si="1"/>
        <v>-0.96000000002095476</v>
      </c>
      <c r="CV12" s="84">
        <f t="shared" si="1"/>
        <v>0</v>
      </c>
      <c r="CW12" s="84">
        <f t="shared" si="1"/>
        <v>-0.53000000002793968</v>
      </c>
      <c r="CX12" s="84">
        <f t="shared" si="1"/>
        <v>35585</v>
      </c>
      <c r="CY12" s="84">
        <f t="shared" si="1"/>
        <v>315.06000000000131</v>
      </c>
      <c r="CZ12" s="84">
        <f t="shared" si="1"/>
        <v>71778</v>
      </c>
      <c r="DA12" s="84">
        <f t="shared" si="1"/>
        <v>683.70000000001164</v>
      </c>
      <c r="DB12" s="103">
        <f t="shared" si="1"/>
        <v>36618</v>
      </c>
      <c r="DC12" s="103">
        <f t="shared" si="1"/>
        <v>6179</v>
      </c>
      <c r="DD12" s="103">
        <f t="shared" si="1"/>
        <v>124141</v>
      </c>
      <c r="DE12" s="103">
        <f t="shared" si="1"/>
        <v>18726</v>
      </c>
      <c r="DF12" s="84">
        <f t="shared" si="1"/>
        <v>315047</v>
      </c>
      <c r="DG12" s="84">
        <f t="shared" si="1"/>
        <v>18041</v>
      </c>
      <c r="DH12" s="84">
        <f t="shared" si="1"/>
        <v>976458</v>
      </c>
      <c r="DI12" s="84">
        <f t="shared" si="1"/>
        <v>69669</v>
      </c>
      <c r="DJ12" s="84">
        <f t="shared" si="1"/>
        <v>0</v>
      </c>
      <c r="DK12" s="84">
        <f t="shared" si="1"/>
        <v>0</v>
      </c>
      <c r="DL12" s="84">
        <f t="shared" si="1"/>
        <v>0</v>
      </c>
      <c r="DM12" s="84">
        <f t="shared" si="1"/>
        <v>0</v>
      </c>
      <c r="DN12" s="84">
        <f t="shared" si="1"/>
        <v>251983</v>
      </c>
      <c r="DO12" s="84">
        <f t="shared" si="1"/>
        <v>10117.329999999958</v>
      </c>
      <c r="DP12" s="84">
        <f t="shared" si="1"/>
        <v>932132</v>
      </c>
      <c r="DQ12" s="84">
        <f t="shared" si="1"/>
        <v>33630.079999999958</v>
      </c>
      <c r="DR12" s="84">
        <f t="shared" si="1"/>
        <v>0</v>
      </c>
      <c r="DS12" s="84">
        <f t="shared" si="1"/>
        <v>-2</v>
      </c>
      <c r="DT12" s="84">
        <f t="shared" si="1"/>
        <v>0</v>
      </c>
      <c r="DU12" s="84">
        <f t="shared" si="1"/>
        <v>1</v>
      </c>
      <c r="DV12" s="103">
        <f t="shared" si="1"/>
        <v>0</v>
      </c>
      <c r="DW12" s="103">
        <f t="shared" ref="DW12:DY12" si="2">DW13-DW11-DW10-DW9-DW8-DW7-DW6</f>
        <v>-1</v>
      </c>
      <c r="DX12" s="103">
        <f t="shared" si="2"/>
        <v>0</v>
      </c>
      <c r="DY12" s="103">
        <f t="shared" si="2"/>
        <v>0</v>
      </c>
    </row>
    <row r="13" spans="1:129" s="7" customFormat="1" x14ac:dyDescent="0.25">
      <c r="A13" s="10" t="s">
        <v>121</v>
      </c>
      <c r="B13" s="10">
        <v>350643</v>
      </c>
      <c r="C13" s="10">
        <v>14508</v>
      </c>
      <c r="D13" s="10">
        <v>1097817</v>
      </c>
      <c r="E13" s="10">
        <v>42239</v>
      </c>
      <c r="F13" s="10">
        <v>173654</v>
      </c>
      <c r="G13" s="10">
        <v>44131</v>
      </c>
      <c r="H13" s="10">
        <v>621966</v>
      </c>
      <c r="I13" s="10">
        <v>130064</v>
      </c>
      <c r="J13" s="10">
        <v>13282894</v>
      </c>
      <c r="K13" s="10">
        <v>309054.58500000002</v>
      </c>
      <c r="L13" s="10">
        <v>41781171</v>
      </c>
      <c r="M13" s="10">
        <v>1205257.44</v>
      </c>
      <c r="N13" s="10">
        <v>8279617</v>
      </c>
      <c r="O13" s="10">
        <v>277568</v>
      </c>
      <c r="P13" s="10">
        <v>24973439</v>
      </c>
      <c r="Q13" s="10">
        <v>1256953</v>
      </c>
      <c r="R13" s="10">
        <v>1710321</v>
      </c>
      <c r="S13" s="10">
        <v>73055</v>
      </c>
      <c r="T13" s="10">
        <v>6092895</v>
      </c>
      <c r="U13" s="10">
        <v>315990</v>
      </c>
      <c r="V13" s="10">
        <v>1961690</v>
      </c>
      <c r="W13" s="10">
        <v>127020</v>
      </c>
      <c r="X13" s="10">
        <v>6370425</v>
      </c>
      <c r="Y13" s="10">
        <v>438821</v>
      </c>
      <c r="Z13" s="10">
        <v>1177</v>
      </c>
      <c r="AA13" s="10">
        <v>13962.13</v>
      </c>
      <c r="AB13" s="10">
        <v>4475</v>
      </c>
      <c r="AC13" s="10">
        <v>42997.55</v>
      </c>
      <c r="AD13" s="10">
        <v>58168</v>
      </c>
      <c r="AE13" s="10">
        <v>6481.19</v>
      </c>
      <c r="AF13" s="10">
        <v>188158</v>
      </c>
      <c r="AG13" s="10">
        <v>21857.38</v>
      </c>
      <c r="AH13" s="10">
        <v>951259</v>
      </c>
      <c r="AI13" s="10">
        <v>107999.11</v>
      </c>
      <c r="AJ13" s="10">
        <v>3214490</v>
      </c>
      <c r="AK13" s="10">
        <v>383523.42</v>
      </c>
      <c r="AL13" s="10">
        <v>1815291</v>
      </c>
      <c r="AM13" s="10">
        <v>76439</v>
      </c>
      <c r="AN13" s="10">
        <v>5557493</v>
      </c>
      <c r="AO13" s="10">
        <v>241762</v>
      </c>
      <c r="AP13" s="10">
        <v>2951839</v>
      </c>
      <c r="AQ13" s="10">
        <v>354940.9</v>
      </c>
      <c r="AR13" s="10">
        <v>10204716</v>
      </c>
      <c r="AS13" s="10">
        <v>1229510.3</v>
      </c>
      <c r="AT13" s="10">
        <v>6060619</v>
      </c>
      <c r="AU13" s="10">
        <v>347802</v>
      </c>
      <c r="AV13" s="10">
        <v>21733076</v>
      </c>
      <c r="AW13" s="10">
        <v>1400309</v>
      </c>
      <c r="AX13" s="10">
        <v>2581690</v>
      </c>
      <c r="AY13" s="10">
        <v>197093.6427</v>
      </c>
      <c r="AZ13" s="10">
        <v>8833577</v>
      </c>
      <c r="BA13" s="10">
        <v>841088.33360000001</v>
      </c>
      <c r="BB13" s="10">
        <v>741291</v>
      </c>
      <c r="BC13" s="10">
        <v>16168.29</v>
      </c>
      <c r="BD13" s="10">
        <v>2260521</v>
      </c>
      <c r="BE13" s="10">
        <v>54399.23</v>
      </c>
      <c r="BF13" s="10">
        <v>795027</v>
      </c>
      <c r="BG13" s="10">
        <v>39966</v>
      </c>
      <c r="BH13" s="10">
        <v>2657435</v>
      </c>
      <c r="BI13" s="10">
        <v>144571</v>
      </c>
      <c r="BJ13" s="10">
        <v>446370</v>
      </c>
      <c r="BK13" s="10">
        <v>43174</v>
      </c>
      <c r="BL13" s="10">
        <v>1583544</v>
      </c>
      <c r="BM13" s="10">
        <v>128359</v>
      </c>
      <c r="BN13" s="84">
        <v>79009</v>
      </c>
      <c r="BO13" s="10">
        <v>22716</v>
      </c>
      <c r="BP13" s="10">
        <v>304982</v>
      </c>
      <c r="BQ13" s="10">
        <v>75549</v>
      </c>
      <c r="BR13" s="10">
        <v>268932</v>
      </c>
      <c r="BS13" s="10">
        <v>60051</v>
      </c>
      <c r="BT13" s="10">
        <v>166467</v>
      </c>
      <c r="BU13" s="10">
        <v>40936</v>
      </c>
      <c r="BV13" s="10">
        <v>3572187</v>
      </c>
      <c r="BW13" s="10">
        <v>357050</v>
      </c>
      <c r="BX13" s="10">
        <v>13163142</v>
      </c>
      <c r="BY13" s="10">
        <v>1396198</v>
      </c>
      <c r="BZ13" s="10">
        <v>105084</v>
      </c>
      <c r="CA13" s="10">
        <v>3201</v>
      </c>
      <c r="CB13" s="10">
        <v>316087</v>
      </c>
      <c r="CC13" s="10">
        <v>10440</v>
      </c>
      <c r="CD13" s="10">
        <v>78803</v>
      </c>
      <c r="CE13" s="10">
        <v>9212.5300000000007</v>
      </c>
      <c r="CF13" s="10">
        <v>328796</v>
      </c>
      <c r="CG13" s="10">
        <v>27221.52</v>
      </c>
      <c r="CH13" s="10">
        <v>1745306</v>
      </c>
      <c r="CI13" s="10">
        <v>200804</v>
      </c>
      <c r="CJ13" s="10">
        <v>5978642</v>
      </c>
      <c r="CK13" s="10">
        <v>831028</v>
      </c>
      <c r="CL13" s="10">
        <v>572241</v>
      </c>
      <c r="CM13" s="10">
        <v>80425</v>
      </c>
      <c r="CN13" s="10">
        <v>1376812</v>
      </c>
      <c r="CO13" s="10">
        <v>255975</v>
      </c>
      <c r="CP13" s="10"/>
      <c r="CQ13" s="10"/>
      <c r="CR13" s="10"/>
      <c r="CS13" s="10"/>
      <c r="CT13" s="10">
        <v>3348692</v>
      </c>
      <c r="CU13" s="10">
        <v>295379.03999999998</v>
      </c>
      <c r="CV13" s="10">
        <v>8486638</v>
      </c>
      <c r="CW13" s="10">
        <v>823233.47</v>
      </c>
      <c r="CX13" s="10">
        <v>1022532</v>
      </c>
      <c r="CY13" s="10">
        <v>58055.839999999997</v>
      </c>
      <c r="CZ13" s="10">
        <v>3935226</v>
      </c>
      <c r="DA13" s="10">
        <v>213887.76</v>
      </c>
      <c r="DB13" s="10">
        <v>2101050</v>
      </c>
      <c r="DC13" s="10">
        <v>326182</v>
      </c>
      <c r="DD13" s="10">
        <v>6990335</v>
      </c>
      <c r="DE13" s="10">
        <v>938854</v>
      </c>
      <c r="DF13" s="10">
        <v>570584</v>
      </c>
      <c r="DG13" s="10">
        <v>201103</v>
      </c>
      <c r="DH13" s="10">
        <v>7648746</v>
      </c>
      <c r="DI13" s="10">
        <v>804206</v>
      </c>
      <c r="DJ13" s="10">
        <v>7967340</v>
      </c>
      <c r="DK13" s="10">
        <v>784731</v>
      </c>
      <c r="DL13" s="10"/>
      <c r="DM13" s="10"/>
      <c r="DN13" s="10">
        <v>2249314</v>
      </c>
      <c r="DO13" s="10">
        <v>324842</v>
      </c>
      <c r="DP13" s="10">
        <v>9576996</v>
      </c>
      <c r="DQ13" s="10">
        <v>1244998</v>
      </c>
      <c r="DR13" s="10">
        <v>3926319</v>
      </c>
      <c r="DS13" s="10">
        <v>398624</v>
      </c>
      <c r="DT13" s="10">
        <v>14698408</v>
      </c>
      <c r="DU13" s="10">
        <v>1565758</v>
      </c>
      <c r="DV13" s="10">
        <v>1250380</v>
      </c>
      <c r="DW13" s="10">
        <v>87192</v>
      </c>
      <c r="DX13" s="10">
        <v>2388062</v>
      </c>
      <c r="DY13" s="10">
        <v>305216</v>
      </c>
    </row>
    <row r="14" spans="1:129" x14ac:dyDescent="0.25">
      <c r="A14" s="84" t="s">
        <v>122</v>
      </c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103">
        <v>163353</v>
      </c>
      <c r="BW14" s="103">
        <v>5499.1625959000003</v>
      </c>
      <c r="BX14" s="103">
        <v>722774</v>
      </c>
      <c r="BY14" s="103">
        <v>17885.3313151</v>
      </c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>
        <v>401</v>
      </c>
      <c r="CU14" s="84">
        <v>3094</v>
      </c>
      <c r="CV14" s="84">
        <v>763</v>
      </c>
      <c r="CW14" s="84">
        <v>3252</v>
      </c>
      <c r="CX14" s="84"/>
      <c r="CY14" s="84"/>
      <c r="CZ14" s="84"/>
      <c r="DA14" s="84"/>
      <c r="DB14" s="103"/>
      <c r="DC14" s="103"/>
      <c r="DD14" s="103"/>
      <c r="DE14" s="103"/>
      <c r="DF14" s="84"/>
      <c r="DG14" s="84"/>
      <c r="DH14" s="84"/>
      <c r="DI14" s="84"/>
      <c r="DJ14" s="84"/>
      <c r="DK14" s="84"/>
      <c r="DL14" s="84"/>
      <c r="DM14" s="84"/>
      <c r="DN14" s="84"/>
      <c r="DO14" s="84"/>
      <c r="DP14" s="84"/>
      <c r="DQ14" s="84"/>
      <c r="DR14" s="84"/>
      <c r="DS14" s="84"/>
      <c r="DT14" s="84"/>
      <c r="DU14" s="84"/>
      <c r="DV14" s="103"/>
      <c r="DW14" s="103"/>
      <c r="DX14" s="103"/>
      <c r="DY14" s="103"/>
    </row>
    <row r="15" spans="1:129" s="7" customFormat="1" x14ac:dyDescent="0.25">
      <c r="A15" s="10" t="s">
        <v>123</v>
      </c>
      <c r="B15" s="10">
        <f>B13+B14</f>
        <v>350643</v>
      </c>
      <c r="C15" s="10">
        <f t="shared" ref="C15:BJ15" si="3">C13+C14</f>
        <v>14508</v>
      </c>
      <c r="D15" s="10">
        <f t="shared" si="3"/>
        <v>1097817</v>
      </c>
      <c r="E15" s="10">
        <f t="shared" si="3"/>
        <v>42239</v>
      </c>
      <c r="F15" s="10">
        <f t="shared" si="3"/>
        <v>173654</v>
      </c>
      <c r="G15" s="10">
        <f t="shared" si="3"/>
        <v>44131</v>
      </c>
      <c r="H15" s="10">
        <f t="shared" si="3"/>
        <v>621966</v>
      </c>
      <c r="I15" s="10">
        <f t="shared" si="3"/>
        <v>130064</v>
      </c>
      <c r="J15" s="10">
        <f t="shared" si="3"/>
        <v>13282894</v>
      </c>
      <c r="K15" s="10">
        <f t="shared" si="3"/>
        <v>309054.58500000002</v>
      </c>
      <c r="L15" s="10">
        <f t="shared" si="3"/>
        <v>41781171</v>
      </c>
      <c r="M15" s="10">
        <f t="shared" si="3"/>
        <v>1205257.44</v>
      </c>
      <c r="N15" s="10">
        <f t="shared" si="3"/>
        <v>8279617</v>
      </c>
      <c r="O15" s="10">
        <f t="shared" si="3"/>
        <v>277568</v>
      </c>
      <c r="P15" s="10">
        <f t="shared" si="3"/>
        <v>24973439</v>
      </c>
      <c r="Q15" s="10">
        <f t="shared" si="3"/>
        <v>1256953</v>
      </c>
      <c r="R15" s="10">
        <f t="shared" si="3"/>
        <v>1710321</v>
      </c>
      <c r="S15" s="10">
        <f t="shared" si="3"/>
        <v>73055</v>
      </c>
      <c r="T15" s="10">
        <f t="shared" si="3"/>
        <v>6092895</v>
      </c>
      <c r="U15" s="10">
        <f t="shared" si="3"/>
        <v>315990</v>
      </c>
      <c r="V15" s="10">
        <f t="shared" si="3"/>
        <v>1961690</v>
      </c>
      <c r="W15" s="10">
        <f t="shared" si="3"/>
        <v>127020</v>
      </c>
      <c r="X15" s="10">
        <f t="shared" si="3"/>
        <v>6370425</v>
      </c>
      <c r="Y15" s="10">
        <f t="shared" si="3"/>
        <v>438821</v>
      </c>
      <c r="Z15" s="10">
        <f t="shared" si="3"/>
        <v>1177</v>
      </c>
      <c r="AA15" s="10">
        <f t="shared" si="3"/>
        <v>13962.13</v>
      </c>
      <c r="AB15" s="10">
        <f t="shared" si="3"/>
        <v>4475</v>
      </c>
      <c r="AC15" s="10">
        <f t="shared" si="3"/>
        <v>42997.55</v>
      </c>
      <c r="AD15" s="10">
        <f t="shared" si="3"/>
        <v>58168</v>
      </c>
      <c r="AE15" s="10">
        <f t="shared" si="3"/>
        <v>6481.19</v>
      </c>
      <c r="AF15" s="10">
        <f t="shared" si="3"/>
        <v>188158</v>
      </c>
      <c r="AG15" s="10">
        <f t="shared" si="3"/>
        <v>21857.38</v>
      </c>
      <c r="AH15" s="10">
        <f t="shared" si="3"/>
        <v>951259</v>
      </c>
      <c r="AI15" s="10">
        <f t="shared" si="3"/>
        <v>107999.11</v>
      </c>
      <c r="AJ15" s="10">
        <f t="shared" si="3"/>
        <v>3214490</v>
      </c>
      <c r="AK15" s="10">
        <f t="shared" si="3"/>
        <v>383523.42</v>
      </c>
      <c r="AL15" s="10">
        <f t="shared" si="3"/>
        <v>1815291</v>
      </c>
      <c r="AM15" s="10">
        <f t="shared" si="3"/>
        <v>76439</v>
      </c>
      <c r="AN15" s="10">
        <f t="shared" si="3"/>
        <v>5557493</v>
      </c>
      <c r="AO15" s="10">
        <f t="shared" si="3"/>
        <v>241762</v>
      </c>
      <c r="AP15" s="10">
        <f t="shared" si="3"/>
        <v>2951839</v>
      </c>
      <c r="AQ15" s="10">
        <f t="shared" si="3"/>
        <v>354940.9</v>
      </c>
      <c r="AR15" s="10">
        <f t="shared" si="3"/>
        <v>10204716</v>
      </c>
      <c r="AS15" s="10">
        <f t="shared" si="3"/>
        <v>1229510.3</v>
      </c>
      <c r="AT15" s="10">
        <f t="shared" si="3"/>
        <v>6060619</v>
      </c>
      <c r="AU15" s="10">
        <f t="shared" si="3"/>
        <v>347802</v>
      </c>
      <c r="AV15" s="10">
        <f t="shared" si="3"/>
        <v>21733076</v>
      </c>
      <c r="AW15" s="10">
        <f t="shared" si="3"/>
        <v>1400309</v>
      </c>
      <c r="AX15" s="10">
        <f t="shared" si="3"/>
        <v>2581690</v>
      </c>
      <c r="AY15" s="10">
        <f t="shared" si="3"/>
        <v>197093.6427</v>
      </c>
      <c r="AZ15" s="10">
        <f t="shared" si="3"/>
        <v>8833577</v>
      </c>
      <c r="BA15" s="10">
        <f t="shared" si="3"/>
        <v>841088.33360000001</v>
      </c>
      <c r="BB15" s="10">
        <f t="shared" si="3"/>
        <v>741291</v>
      </c>
      <c r="BC15" s="10">
        <f t="shared" si="3"/>
        <v>16168.29</v>
      </c>
      <c r="BD15" s="10">
        <f t="shared" si="3"/>
        <v>2260521</v>
      </c>
      <c r="BE15" s="10">
        <f t="shared" si="3"/>
        <v>54399.23</v>
      </c>
      <c r="BF15" s="10">
        <f t="shared" si="3"/>
        <v>795027</v>
      </c>
      <c r="BG15" s="10">
        <f t="shared" si="3"/>
        <v>39966</v>
      </c>
      <c r="BH15" s="10">
        <f t="shared" si="3"/>
        <v>2657435</v>
      </c>
      <c r="BI15" s="10">
        <f t="shared" si="3"/>
        <v>144571</v>
      </c>
      <c r="BJ15" s="10">
        <f t="shared" si="3"/>
        <v>446370</v>
      </c>
      <c r="BK15" s="10">
        <f t="shared" ref="BK15:DV15" si="4">BK13+BK14</f>
        <v>43174</v>
      </c>
      <c r="BL15" s="10">
        <f t="shared" si="4"/>
        <v>1583544</v>
      </c>
      <c r="BM15" s="10">
        <f t="shared" si="4"/>
        <v>128359</v>
      </c>
      <c r="BN15" s="10">
        <f t="shared" si="4"/>
        <v>79009</v>
      </c>
      <c r="BO15" s="10">
        <f t="shared" si="4"/>
        <v>22716</v>
      </c>
      <c r="BP15" s="10">
        <f t="shared" si="4"/>
        <v>304982</v>
      </c>
      <c r="BQ15" s="10">
        <f t="shared" si="4"/>
        <v>75549</v>
      </c>
      <c r="BR15" s="10">
        <f t="shared" si="4"/>
        <v>268932</v>
      </c>
      <c r="BS15" s="10">
        <f t="shared" si="4"/>
        <v>60051</v>
      </c>
      <c r="BT15" s="10">
        <f t="shared" si="4"/>
        <v>166467</v>
      </c>
      <c r="BU15" s="10">
        <f t="shared" si="4"/>
        <v>40936</v>
      </c>
      <c r="BV15" s="10">
        <f t="shared" si="4"/>
        <v>3735540</v>
      </c>
      <c r="BW15" s="10">
        <f t="shared" si="4"/>
        <v>362549.16259590001</v>
      </c>
      <c r="BX15" s="10">
        <f t="shared" si="4"/>
        <v>13885916</v>
      </c>
      <c r="BY15" s="10">
        <f t="shared" si="4"/>
        <v>1414083.3313151</v>
      </c>
      <c r="BZ15" s="10">
        <f t="shared" si="4"/>
        <v>105084</v>
      </c>
      <c r="CA15" s="10">
        <f t="shared" si="4"/>
        <v>3201</v>
      </c>
      <c r="CB15" s="10">
        <f t="shared" si="4"/>
        <v>316087</v>
      </c>
      <c r="CC15" s="10">
        <f t="shared" si="4"/>
        <v>10440</v>
      </c>
      <c r="CD15" s="10">
        <f t="shared" si="4"/>
        <v>78803</v>
      </c>
      <c r="CE15" s="10">
        <f t="shared" si="4"/>
        <v>9212.5300000000007</v>
      </c>
      <c r="CF15" s="10">
        <f t="shared" si="4"/>
        <v>328796</v>
      </c>
      <c r="CG15" s="10">
        <f t="shared" si="4"/>
        <v>27221.52</v>
      </c>
      <c r="CH15" s="10">
        <f t="shared" si="4"/>
        <v>1745306</v>
      </c>
      <c r="CI15" s="10">
        <f t="shared" si="4"/>
        <v>200804</v>
      </c>
      <c r="CJ15" s="10">
        <f t="shared" si="4"/>
        <v>5978642</v>
      </c>
      <c r="CK15" s="10">
        <f t="shared" si="4"/>
        <v>831028</v>
      </c>
      <c r="CL15" s="10">
        <f t="shared" si="4"/>
        <v>572241</v>
      </c>
      <c r="CM15" s="10">
        <f t="shared" si="4"/>
        <v>80425</v>
      </c>
      <c r="CN15" s="10">
        <f t="shared" si="4"/>
        <v>1376812</v>
      </c>
      <c r="CO15" s="10">
        <f t="shared" si="4"/>
        <v>255975</v>
      </c>
      <c r="CP15" s="10">
        <f t="shared" si="4"/>
        <v>0</v>
      </c>
      <c r="CQ15" s="10">
        <f t="shared" si="4"/>
        <v>0</v>
      </c>
      <c r="CR15" s="10">
        <f t="shared" si="4"/>
        <v>0</v>
      </c>
      <c r="CS15" s="10">
        <f t="shared" si="4"/>
        <v>0</v>
      </c>
      <c r="CT15" s="10">
        <f t="shared" si="4"/>
        <v>3349093</v>
      </c>
      <c r="CU15" s="10">
        <f t="shared" si="4"/>
        <v>298473.03999999998</v>
      </c>
      <c r="CV15" s="10">
        <f t="shared" si="4"/>
        <v>8487401</v>
      </c>
      <c r="CW15" s="10">
        <f t="shared" si="4"/>
        <v>826485.47</v>
      </c>
      <c r="CX15" s="10">
        <f t="shared" si="4"/>
        <v>1022532</v>
      </c>
      <c r="CY15" s="10">
        <f t="shared" si="4"/>
        <v>58055.839999999997</v>
      </c>
      <c r="CZ15" s="10">
        <f t="shared" si="4"/>
        <v>3935226</v>
      </c>
      <c r="DA15" s="10">
        <f t="shared" si="4"/>
        <v>213887.76</v>
      </c>
      <c r="DB15" s="10">
        <f t="shared" si="4"/>
        <v>2101050</v>
      </c>
      <c r="DC15" s="10">
        <f t="shared" si="4"/>
        <v>326182</v>
      </c>
      <c r="DD15" s="10">
        <f t="shared" si="4"/>
        <v>6990335</v>
      </c>
      <c r="DE15" s="10">
        <f t="shared" si="4"/>
        <v>938854</v>
      </c>
      <c r="DF15" s="10">
        <f t="shared" si="4"/>
        <v>570584</v>
      </c>
      <c r="DG15" s="10">
        <f t="shared" si="4"/>
        <v>201103</v>
      </c>
      <c r="DH15" s="10">
        <f t="shared" si="4"/>
        <v>7648746</v>
      </c>
      <c r="DI15" s="10">
        <f t="shared" si="4"/>
        <v>804206</v>
      </c>
      <c r="DJ15" s="10">
        <f t="shared" si="4"/>
        <v>7967340</v>
      </c>
      <c r="DK15" s="10">
        <f t="shared" si="4"/>
        <v>784731</v>
      </c>
      <c r="DL15" s="10">
        <f t="shared" si="4"/>
        <v>0</v>
      </c>
      <c r="DM15" s="10">
        <f t="shared" si="4"/>
        <v>0</v>
      </c>
      <c r="DN15" s="10">
        <f t="shared" si="4"/>
        <v>2249314</v>
      </c>
      <c r="DO15" s="10">
        <f t="shared" si="4"/>
        <v>324842</v>
      </c>
      <c r="DP15" s="10">
        <f t="shared" si="4"/>
        <v>9576996</v>
      </c>
      <c r="DQ15" s="10">
        <f t="shared" si="4"/>
        <v>1244998</v>
      </c>
      <c r="DR15" s="10">
        <f t="shared" si="4"/>
        <v>3926319</v>
      </c>
      <c r="DS15" s="10">
        <f t="shared" si="4"/>
        <v>398624</v>
      </c>
      <c r="DT15" s="10">
        <f t="shared" si="4"/>
        <v>14698408</v>
      </c>
      <c r="DU15" s="10">
        <f t="shared" si="4"/>
        <v>1565758</v>
      </c>
      <c r="DV15" s="10">
        <f t="shared" si="4"/>
        <v>1250380</v>
      </c>
      <c r="DW15" s="10">
        <f t="shared" ref="DW15:DY15" si="5">DW13+DW14</f>
        <v>87192</v>
      </c>
      <c r="DX15" s="10">
        <f t="shared" si="5"/>
        <v>2388062</v>
      </c>
      <c r="DY15" s="10">
        <f t="shared" si="5"/>
        <v>305216</v>
      </c>
    </row>
    <row r="18" spans="12:55" x14ac:dyDescent="0.25">
      <c r="L18" s="76"/>
      <c r="AT18" s="76"/>
    </row>
    <row r="19" spans="12:55" x14ac:dyDescent="0.25">
      <c r="L19" s="76"/>
      <c r="AQ19" s="76"/>
      <c r="BC19" s="76"/>
    </row>
    <row r="20" spans="12:55" x14ac:dyDescent="0.25">
      <c r="AQ20" s="76"/>
    </row>
    <row r="21" spans="12:55" x14ac:dyDescent="0.25">
      <c r="AT21" s="76"/>
    </row>
  </sheetData>
  <mergeCells count="96">
    <mergeCell ref="CD4:CE4"/>
    <mergeCell ref="CF4:CG4"/>
    <mergeCell ref="CH4:CI4"/>
    <mergeCell ref="CJ4:CK4"/>
    <mergeCell ref="CL4:CM4"/>
    <mergeCell ref="CN4:CO4"/>
    <mergeCell ref="CT4:CU4"/>
    <mergeCell ref="CV4:CW4"/>
    <mergeCell ref="CX4:CY4"/>
    <mergeCell ref="CZ4:DA4"/>
    <mergeCell ref="BZ4:CA4"/>
    <mergeCell ref="CB4:CC4"/>
    <mergeCell ref="BJ4:BK4"/>
    <mergeCell ref="BL4:BM4"/>
    <mergeCell ref="BN4:BO4"/>
    <mergeCell ref="BP4:BQ4"/>
    <mergeCell ref="BR4:BS4"/>
    <mergeCell ref="BV4:BW4"/>
    <mergeCell ref="BX4:BY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AT4:AU4"/>
    <mergeCell ref="AV4:AW4"/>
    <mergeCell ref="DN3:DQ3"/>
    <mergeCell ref="DR3:DU3"/>
    <mergeCell ref="DN4:DO4"/>
    <mergeCell ref="DJ4:DK4"/>
    <mergeCell ref="DL4:DM4"/>
    <mergeCell ref="CP3:CS3"/>
    <mergeCell ref="CP4:CQ4"/>
    <mergeCell ref="CR4:CS4"/>
    <mergeCell ref="CT3:CW3"/>
    <mergeCell ref="CX3:DA3"/>
    <mergeCell ref="DB3:DE3"/>
    <mergeCell ref="DF3:DI3"/>
    <mergeCell ref="DB4:DC4"/>
    <mergeCell ref="DD4:DE4"/>
    <mergeCell ref="DF4:DG4"/>
    <mergeCell ref="DV3:DY3"/>
    <mergeCell ref="DX4:DY4"/>
    <mergeCell ref="DV4:DW4"/>
    <mergeCell ref="DP4:DQ4"/>
    <mergeCell ref="DR4:DS4"/>
    <mergeCell ref="DT4:DU4"/>
    <mergeCell ref="DH4:DI4"/>
    <mergeCell ref="DJ3:DM3"/>
    <mergeCell ref="B3:E3"/>
    <mergeCell ref="F3:I3"/>
    <mergeCell ref="J3:M3"/>
    <mergeCell ref="N3:Q3"/>
    <mergeCell ref="R3:U3"/>
    <mergeCell ref="V3:Y3"/>
    <mergeCell ref="X4:Y4"/>
    <mergeCell ref="AP3:AS3"/>
    <mergeCell ref="AJ4:AK4"/>
    <mergeCell ref="AL4:AM4"/>
    <mergeCell ref="AN4:AO4"/>
    <mergeCell ref="AP4:AQ4"/>
    <mergeCell ref="AR4:AS4"/>
    <mergeCell ref="Z4:AA4"/>
    <mergeCell ref="AB4:AC4"/>
    <mergeCell ref="AD4:AE4"/>
    <mergeCell ref="Z3:AC3"/>
    <mergeCell ref="AF4:AG4"/>
    <mergeCell ref="AH4:AI4"/>
    <mergeCell ref="AD3:AG3"/>
    <mergeCell ref="AH3:AK3"/>
    <mergeCell ref="BZ3:CC3"/>
    <mergeCell ref="CD3:CG3"/>
    <mergeCell ref="CH3:CK3"/>
    <mergeCell ref="CL3:CO3"/>
    <mergeCell ref="BV3:BY3"/>
    <mergeCell ref="AL3:AO3"/>
    <mergeCell ref="AT3:AW3"/>
    <mergeCell ref="AX3:BA3"/>
    <mergeCell ref="BB3:BE3"/>
    <mergeCell ref="BF3:BI3"/>
    <mergeCell ref="BJ3:BM3"/>
    <mergeCell ref="BN3:BQ3"/>
    <mergeCell ref="BR3:BU3"/>
    <mergeCell ref="AX4:AY4"/>
    <mergeCell ref="AZ4:BA4"/>
    <mergeCell ref="BB4:BC4"/>
    <mergeCell ref="BT4:BU4"/>
    <mergeCell ref="BD4:BE4"/>
    <mergeCell ref="BF4:BG4"/>
    <mergeCell ref="BH4:BI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3.140625" style="6" customWidth="1"/>
    <col min="2" max="65" width="16" style="6" customWidth="1"/>
    <col min="66" max="67" width="16" style="35" customWidth="1"/>
    <col min="68" max="16384" width="9.140625" style="6"/>
  </cols>
  <sheetData>
    <row r="1" spans="1:67" ht="18.75" x14ac:dyDescent="0.3">
      <c r="A1" s="12" t="s">
        <v>280</v>
      </c>
    </row>
    <row r="2" spans="1:67" x14ac:dyDescent="0.25">
      <c r="A2" s="5" t="s">
        <v>34</v>
      </c>
    </row>
    <row r="3" spans="1:67" x14ac:dyDescent="0.25">
      <c r="A3" s="3" t="s">
        <v>0</v>
      </c>
      <c r="B3" s="119" t="s">
        <v>1</v>
      </c>
      <c r="C3" s="120"/>
      <c r="D3" s="119" t="s">
        <v>282</v>
      </c>
      <c r="E3" s="120"/>
      <c r="F3" s="119" t="s">
        <v>2</v>
      </c>
      <c r="G3" s="120"/>
      <c r="H3" s="119" t="s">
        <v>3</v>
      </c>
      <c r="I3" s="120"/>
      <c r="J3" s="119" t="s">
        <v>4</v>
      </c>
      <c r="K3" s="120"/>
      <c r="L3" s="119" t="s">
        <v>283</v>
      </c>
      <c r="M3" s="120"/>
      <c r="N3" s="119" t="s">
        <v>6</v>
      </c>
      <c r="O3" s="120"/>
      <c r="P3" s="119" t="s">
        <v>5</v>
      </c>
      <c r="Q3" s="120"/>
      <c r="R3" s="119" t="s">
        <v>7</v>
      </c>
      <c r="S3" s="120"/>
      <c r="T3" s="119" t="s">
        <v>284</v>
      </c>
      <c r="U3" s="120"/>
      <c r="V3" s="119" t="s">
        <v>8</v>
      </c>
      <c r="W3" s="120"/>
      <c r="X3" s="119" t="s">
        <v>9</v>
      </c>
      <c r="Y3" s="120"/>
      <c r="Z3" s="119" t="s">
        <v>10</v>
      </c>
      <c r="AA3" s="120"/>
      <c r="AB3" s="119" t="s">
        <v>293</v>
      </c>
      <c r="AC3" s="120"/>
      <c r="AD3" s="119" t="s">
        <v>11</v>
      </c>
      <c r="AE3" s="120"/>
      <c r="AF3" s="119" t="s">
        <v>12</v>
      </c>
      <c r="AG3" s="120"/>
      <c r="AH3" s="119" t="s">
        <v>285</v>
      </c>
      <c r="AI3" s="120"/>
      <c r="AJ3" s="119" t="s">
        <v>290</v>
      </c>
      <c r="AK3" s="120"/>
      <c r="AL3" s="119" t="s">
        <v>13</v>
      </c>
      <c r="AM3" s="120"/>
      <c r="AN3" s="119" t="s">
        <v>286</v>
      </c>
      <c r="AO3" s="120"/>
      <c r="AP3" s="119" t="s">
        <v>287</v>
      </c>
      <c r="AQ3" s="120"/>
      <c r="AR3" s="119" t="s">
        <v>291</v>
      </c>
      <c r="AS3" s="120"/>
      <c r="AT3" s="119" t="s">
        <v>294</v>
      </c>
      <c r="AU3" s="120"/>
      <c r="AV3" s="119" t="s">
        <v>14</v>
      </c>
      <c r="AW3" s="120"/>
      <c r="AX3" s="119" t="s">
        <v>15</v>
      </c>
      <c r="AY3" s="120"/>
      <c r="AZ3" s="119" t="s">
        <v>16</v>
      </c>
      <c r="BA3" s="120"/>
      <c r="BB3" s="119" t="s">
        <v>17</v>
      </c>
      <c r="BC3" s="120"/>
      <c r="BD3" s="119" t="s">
        <v>18</v>
      </c>
      <c r="BE3" s="120"/>
      <c r="BF3" s="119" t="s">
        <v>288</v>
      </c>
      <c r="BG3" s="120"/>
      <c r="BH3" s="119" t="s">
        <v>289</v>
      </c>
      <c r="BI3" s="120"/>
      <c r="BJ3" s="119" t="s">
        <v>19</v>
      </c>
      <c r="BK3" s="120"/>
      <c r="BL3" s="119" t="s">
        <v>20</v>
      </c>
      <c r="BM3" s="120"/>
      <c r="BN3" s="121" t="s">
        <v>21</v>
      </c>
      <c r="BO3" s="122"/>
    </row>
    <row r="4" spans="1:67" ht="30" x14ac:dyDescent="0.25">
      <c r="A4" s="3"/>
      <c r="B4" s="57" t="s">
        <v>296</v>
      </c>
      <c r="C4" s="58" t="s">
        <v>297</v>
      </c>
      <c r="D4" s="57" t="s">
        <v>296</v>
      </c>
      <c r="E4" s="58" t="s">
        <v>297</v>
      </c>
      <c r="F4" s="57" t="s">
        <v>296</v>
      </c>
      <c r="G4" s="58" t="s">
        <v>297</v>
      </c>
      <c r="H4" s="57" t="s">
        <v>296</v>
      </c>
      <c r="I4" s="58" t="s">
        <v>297</v>
      </c>
      <c r="J4" s="57" t="s">
        <v>296</v>
      </c>
      <c r="K4" s="58" t="s">
        <v>297</v>
      </c>
      <c r="L4" s="57" t="s">
        <v>296</v>
      </c>
      <c r="M4" s="58" t="s">
        <v>297</v>
      </c>
      <c r="N4" s="57" t="s">
        <v>296</v>
      </c>
      <c r="O4" s="58" t="s">
        <v>297</v>
      </c>
      <c r="P4" s="57" t="s">
        <v>296</v>
      </c>
      <c r="Q4" s="58" t="s">
        <v>297</v>
      </c>
      <c r="R4" s="57" t="s">
        <v>296</v>
      </c>
      <c r="S4" s="58" t="s">
        <v>297</v>
      </c>
      <c r="T4" s="57" t="s">
        <v>296</v>
      </c>
      <c r="U4" s="58" t="s">
        <v>297</v>
      </c>
      <c r="V4" s="57" t="s">
        <v>296</v>
      </c>
      <c r="W4" s="58" t="s">
        <v>297</v>
      </c>
      <c r="X4" s="57" t="s">
        <v>296</v>
      </c>
      <c r="Y4" s="58" t="s">
        <v>297</v>
      </c>
      <c r="Z4" s="57" t="s">
        <v>296</v>
      </c>
      <c r="AA4" s="58" t="s">
        <v>297</v>
      </c>
      <c r="AB4" s="57" t="s">
        <v>296</v>
      </c>
      <c r="AC4" s="58" t="s">
        <v>297</v>
      </c>
      <c r="AD4" s="57" t="s">
        <v>296</v>
      </c>
      <c r="AE4" s="58" t="s">
        <v>297</v>
      </c>
      <c r="AF4" s="57" t="s">
        <v>296</v>
      </c>
      <c r="AG4" s="58" t="s">
        <v>297</v>
      </c>
      <c r="AH4" s="57" t="s">
        <v>296</v>
      </c>
      <c r="AI4" s="58" t="s">
        <v>297</v>
      </c>
      <c r="AJ4" s="57" t="s">
        <v>296</v>
      </c>
      <c r="AK4" s="58" t="s">
        <v>297</v>
      </c>
      <c r="AL4" s="57" t="s">
        <v>296</v>
      </c>
      <c r="AM4" s="58" t="s">
        <v>297</v>
      </c>
      <c r="AN4" s="57" t="s">
        <v>296</v>
      </c>
      <c r="AO4" s="58" t="s">
        <v>297</v>
      </c>
      <c r="AP4" s="57" t="s">
        <v>296</v>
      </c>
      <c r="AQ4" s="58" t="s">
        <v>297</v>
      </c>
      <c r="AR4" s="57" t="s">
        <v>296</v>
      </c>
      <c r="AS4" s="58" t="s">
        <v>297</v>
      </c>
      <c r="AT4" s="57" t="s">
        <v>296</v>
      </c>
      <c r="AU4" s="58" t="s">
        <v>297</v>
      </c>
      <c r="AV4" s="57" t="s">
        <v>296</v>
      </c>
      <c r="AW4" s="58" t="s">
        <v>297</v>
      </c>
      <c r="AX4" s="57" t="s">
        <v>296</v>
      </c>
      <c r="AY4" s="58" t="s">
        <v>297</v>
      </c>
      <c r="AZ4" s="57" t="s">
        <v>296</v>
      </c>
      <c r="BA4" s="58" t="s">
        <v>297</v>
      </c>
      <c r="BB4" s="57" t="s">
        <v>296</v>
      </c>
      <c r="BC4" s="58" t="s">
        <v>297</v>
      </c>
      <c r="BD4" s="57" t="s">
        <v>296</v>
      </c>
      <c r="BE4" s="58" t="s">
        <v>297</v>
      </c>
      <c r="BF4" s="57" t="s">
        <v>296</v>
      </c>
      <c r="BG4" s="58" t="s">
        <v>297</v>
      </c>
      <c r="BH4" s="57" t="s">
        <v>296</v>
      </c>
      <c r="BI4" s="58" t="s">
        <v>297</v>
      </c>
      <c r="BJ4" s="57" t="s">
        <v>296</v>
      </c>
      <c r="BK4" s="58" t="s">
        <v>297</v>
      </c>
      <c r="BL4" s="57" t="s">
        <v>296</v>
      </c>
      <c r="BM4" s="58" t="s">
        <v>297</v>
      </c>
      <c r="BN4" s="57" t="s">
        <v>296</v>
      </c>
      <c r="BO4" s="58" t="s">
        <v>297</v>
      </c>
    </row>
    <row r="5" spans="1:67" x14ac:dyDescent="0.25">
      <c r="A5" s="3" t="s">
        <v>253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71"/>
      <c r="BO5" s="71"/>
    </row>
    <row r="6" spans="1:67" x14ac:dyDescent="0.25">
      <c r="A6" s="2" t="s">
        <v>254</v>
      </c>
      <c r="B6" s="84">
        <v>-91</v>
      </c>
      <c r="C6" s="84">
        <v>-127</v>
      </c>
      <c r="D6" s="9"/>
      <c r="E6" s="9"/>
      <c r="F6" s="9"/>
      <c r="G6" s="9"/>
      <c r="H6" s="84">
        <v>179474</v>
      </c>
      <c r="I6" s="84">
        <v>441304</v>
      </c>
      <c r="J6" s="84">
        <v>26013</v>
      </c>
      <c r="K6" s="84">
        <v>-79057</v>
      </c>
      <c r="L6" s="84">
        <v>238376</v>
      </c>
      <c r="M6" s="84">
        <v>812143</v>
      </c>
      <c r="N6" s="84"/>
      <c r="O6" s="9"/>
      <c r="P6" s="84">
        <v>-2585</v>
      </c>
      <c r="Q6" s="84">
        <v>-8555</v>
      </c>
      <c r="R6" s="84">
        <v>161096</v>
      </c>
      <c r="S6" s="84">
        <v>369082</v>
      </c>
      <c r="T6" s="84">
        <v>-17280</v>
      </c>
      <c r="U6" s="84">
        <v>-425707</v>
      </c>
      <c r="V6" s="84">
        <v>10802</v>
      </c>
      <c r="W6" s="84">
        <v>-254704</v>
      </c>
      <c r="X6" s="84">
        <v>1529883</v>
      </c>
      <c r="Y6" s="84">
        <v>2375523</v>
      </c>
      <c r="Z6" s="84">
        <v>10927</v>
      </c>
      <c r="AA6" s="84">
        <v>674414</v>
      </c>
      <c r="AB6" s="84">
        <v>1677</v>
      </c>
      <c r="AC6" s="84">
        <v>6463</v>
      </c>
      <c r="AD6" s="84">
        <v>38803</v>
      </c>
      <c r="AE6" s="84">
        <v>77671</v>
      </c>
      <c r="AF6" s="84">
        <v>-100436</v>
      </c>
      <c r="AG6" s="84">
        <v>-400942</v>
      </c>
      <c r="AH6" s="9"/>
      <c r="AI6" s="9"/>
      <c r="AJ6" s="9"/>
      <c r="AK6" s="9"/>
      <c r="AL6" s="84">
        <v>449439</v>
      </c>
      <c r="AM6" s="84">
        <v>754072</v>
      </c>
      <c r="AN6" s="84">
        <v>-87709</v>
      </c>
      <c r="AO6" s="84">
        <v>-967970</v>
      </c>
      <c r="AP6" s="84">
        <v>-27029</v>
      </c>
      <c r="AQ6" s="84">
        <v>-25872</v>
      </c>
      <c r="AR6" s="9">
        <v>473156</v>
      </c>
      <c r="AS6" s="9">
        <v>425236</v>
      </c>
      <c r="AT6" s="9"/>
      <c r="AU6" s="9"/>
      <c r="AV6" s="84">
        <v>79212</v>
      </c>
      <c r="AW6" s="84">
        <v>293585</v>
      </c>
      <c r="AX6" s="84">
        <v>1066869</v>
      </c>
      <c r="AY6" s="84">
        <v>3787391</v>
      </c>
      <c r="AZ6" s="84">
        <v>71504</v>
      </c>
      <c r="BA6" s="84">
        <v>166075</v>
      </c>
      <c r="BB6" s="9"/>
      <c r="BC6" s="9"/>
      <c r="BD6" s="103">
        <v>-239235</v>
      </c>
      <c r="BE6" s="103">
        <v>-47663</v>
      </c>
      <c r="BF6" s="84">
        <v>1835255</v>
      </c>
      <c r="BG6" s="84">
        <v>1928948</v>
      </c>
      <c r="BH6" s="103">
        <v>1535208</v>
      </c>
      <c r="BI6" s="103">
        <v>431525</v>
      </c>
      <c r="BJ6" s="103">
        <v>268151</v>
      </c>
      <c r="BK6" s="103">
        <v>799747</v>
      </c>
      <c r="BL6" s="103">
        <v>150525</v>
      </c>
      <c r="BM6" s="103">
        <v>272805</v>
      </c>
      <c r="BN6" s="72">
        <f>B6+D6+F6+H6+J6+L6+N6+P6+R6+T6+V6+X6+Z6+AB6+AD6+AF6+AH6+AJ6+AL6+AN6+AP6+AR6+AT6+AV6+AX6+AZ6+BB6+BD6+BF6+BH6+BJ6+BL6</f>
        <v>7652005</v>
      </c>
      <c r="BO6" s="72">
        <f>C6+E6+G6+I6+K6+M6+O6+Q6+S6+U6+W6+Y6+AA6+AC6+AE6+AG6+AI6+AK6+AM6+AO6+AQ6+AS6+AU6+AW6+AY6+BA6+BC6+BE6+BG6+BI6+BK6+BM6</f>
        <v>11405387</v>
      </c>
    </row>
    <row r="7" spans="1:67" x14ac:dyDescent="0.25">
      <c r="A7" s="2" t="s">
        <v>255</v>
      </c>
      <c r="B7" s="84"/>
      <c r="C7" s="84"/>
      <c r="D7" s="9"/>
      <c r="E7" s="9"/>
      <c r="F7" s="9"/>
      <c r="G7" s="9"/>
      <c r="H7" s="84">
        <v>63079</v>
      </c>
      <c r="I7" s="84">
        <v>179749</v>
      </c>
      <c r="J7" s="84">
        <v>29563</v>
      </c>
      <c r="K7" s="84">
        <v>-33615</v>
      </c>
      <c r="L7" s="84">
        <v>26614</v>
      </c>
      <c r="M7" s="84">
        <v>47040</v>
      </c>
      <c r="N7" s="84"/>
      <c r="O7" s="9"/>
      <c r="P7" s="84">
        <v>-3159</v>
      </c>
      <c r="Q7" s="60">
        <v>-6912</v>
      </c>
      <c r="R7" s="60">
        <v>26823</v>
      </c>
      <c r="S7" s="60">
        <v>-37362</v>
      </c>
      <c r="T7" s="60">
        <v>-820</v>
      </c>
      <c r="U7" s="60">
        <v>-5043</v>
      </c>
      <c r="V7" s="60">
        <v>-20347</v>
      </c>
      <c r="W7" s="60">
        <v>-207186</v>
      </c>
      <c r="X7" s="60">
        <v>-51338</v>
      </c>
      <c r="Y7" s="60">
        <v>-98891</v>
      </c>
      <c r="Z7" s="60">
        <v>32783</v>
      </c>
      <c r="AA7" s="60">
        <v>125122</v>
      </c>
      <c r="AB7" s="60">
        <v>-139</v>
      </c>
      <c r="AC7" s="60">
        <v>-150</v>
      </c>
      <c r="AD7" s="60">
        <v>54708</v>
      </c>
      <c r="AE7" s="60">
        <v>27447</v>
      </c>
      <c r="AF7" s="60">
        <v>-29431</v>
      </c>
      <c r="AG7" s="60">
        <v>-68640</v>
      </c>
      <c r="AH7" s="60"/>
      <c r="AI7" s="9"/>
      <c r="AJ7" s="9"/>
      <c r="AK7" s="9"/>
      <c r="AL7" s="84">
        <v>314956</v>
      </c>
      <c r="AM7" s="84">
        <v>236206</v>
      </c>
      <c r="AN7" s="84"/>
      <c r="AO7" s="84"/>
      <c r="AP7" s="84">
        <v>932</v>
      </c>
      <c r="AQ7" s="84">
        <v>971</v>
      </c>
      <c r="AR7" s="9">
        <v>-57476</v>
      </c>
      <c r="AS7" s="9">
        <v>-44166</v>
      </c>
      <c r="AT7" s="9"/>
      <c r="AU7" s="9"/>
      <c r="AV7" s="84">
        <v>7229</v>
      </c>
      <c r="AW7" s="84">
        <v>56867</v>
      </c>
      <c r="AX7" s="84">
        <v>-48058</v>
      </c>
      <c r="AY7" s="84">
        <v>-145167</v>
      </c>
      <c r="AZ7" s="84">
        <v>6786</v>
      </c>
      <c r="BA7" s="84">
        <v>11935</v>
      </c>
      <c r="BB7" s="9"/>
      <c r="BC7" s="9"/>
      <c r="BD7" s="103">
        <v>-129120</v>
      </c>
      <c r="BE7" s="103">
        <v>99346</v>
      </c>
      <c r="BF7" s="84">
        <v>-1369</v>
      </c>
      <c r="BG7" s="84">
        <v>428161</v>
      </c>
      <c r="BH7" s="103">
        <v>644375</v>
      </c>
      <c r="BI7" s="103">
        <v>312892</v>
      </c>
      <c r="BJ7" s="103">
        <v>318794</v>
      </c>
      <c r="BK7" s="103">
        <v>475038</v>
      </c>
      <c r="BL7" s="103">
        <v>-2903</v>
      </c>
      <c r="BM7" s="103">
        <v>17075</v>
      </c>
      <c r="BN7" s="72">
        <f t="shared" ref="BN7:BN8" si="0">B7+D7+F7+H7+J7+L7+N7+P7+R7+T7+V7+X7+Z7+AB7+AD7+AF7+AH7+AJ7+AL7+AN7+AP7+AR7+AT7+AV7+AX7+AZ7+BB7+BD7+BF7+BH7+BJ7+BL7</f>
        <v>1182482</v>
      </c>
      <c r="BO7" s="72">
        <f t="shared" ref="BO7:BO8" si="1">C7+E7+G7+I7+K7+M7+O7+Q7+S7+U7+W7+Y7+AA7+AC7+AE7+AG7+AI7+AK7+AM7+AO7+AQ7+AS7+AU7+AW7+AY7+BA7+BC7+BE7+BG7+BI7+BK7+BM7</f>
        <v>1370717</v>
      </c>
    </row>
    <row r="8" spans="1:67" x14ac:dyDescent="0.25">
      <c r="A8" s="2" t="s">
        <v>256</v>
      </c>
      <c r="B8" s="84">
        <v>-336284</v>
      </c>
      <c r="C8" s="84">
        <v>-1453041</v>
      </c>
      <c r="D8" s="84">
        <v>-264330</v>
      </c>
      <c r="E8" s="84">
        <v>-2112964</v>
      </c>
      <c r="F8" s="103">
        <v>2167082</v>
      </c>
      <c r="G8" s="103">
        <v>8254514</v>
      </c>
      <c r="H8" s="84">
        <v>2924749</v>
      </c>
      <c r="I8" s="84">
        <v>14167709</v>
      </c>
      <c r="J8" s="84">
        <v>3169390</v>
      </c>
      <c r="K8" s="84">
        <v>4375230</v>
      </c>
      <c r="L8" s="84">
        <v>814007</v>
      </c>
      <c r="M8" s="84">
        <v>4945215</v>
      </c>
      <c r="N8" s="103">
        <v>-63119.89</v>
      </c>
      <c r="O8" s="103">
        <v>1590971.41</v>
      </c>
      <c r="P8" s="84">
        <v>-315652</v>
      </c>
      <c r="Q8" s="84">
        <v>-1007077</v>
      </c>
      <c r="R8" s="84">
        <v>1742250</v>
      </c>
      <c r="S8" s="84">
        <v>2631577</v>
      </c>
      <c r="T8" s="84">
        <v>-1512931</v>
      </c>
      <c r="U8" s="84">
        <v>-1424119</v>
      </c>
      <c r="V8" s="84">
        <v>1089525</v>
      </c>
      <c r="W8" s="84">
        <v>7770647</v>
      </c>
      <c r="X8" s="84">
        <v>6340316</v>
      </c>
      <c r="Y8" s="84">
        <v>17277817</v>
      </c>
      <c r="Z8" s="84">
        <v>130068</v>
      </c>
      <c r="AA8" s="84">
        <v>2635111</v>
      </c>
      <c r="AB8" s="84">
        <v>-164637</v>
      </c>
      <c r="AC8" s="84">
        <v>-121347</v>
      </c>
      <c r="AD8" s="84">
        <v>1458099</v>
      </c>
      <c r="AE8" s="84">
        <v>1474872</v>
      </c>
      <c r="AF8" s="84">
        <v>62540</v>
      </c>
      <c r="AG8" s="84">
        <v>763262</v>
      </c>
      <c r="AH8" s="103">
        <v>1145252</v>
      </c>
      <c r="AI8" s="103">
        <v>51965</v>
      </c>
      <c r="AJ8" s="84">
        <v>702620</v>
      </c>
      <c r="AK8" s="84">
        <v>1249572</v>
      </c>
      <c r="AL8" s="84">
        <v>-2753895</v>
      </c>
      <c r="AM8" s="84">
        <v>626659</v>
      </c>
      <c r="AN8" s="84">
        <v>4721</v>
      </c>
      <c r="AO8" s="84">
        <v>-398870</v>
      </c>
      <c r="AP8" s="84">
        <v>-217347</v>
      </c>
      <c r="AQ8" s="84">
        <v>-488732</v>
      </c>
      <c r="AR8" s="9">
        <v>1138180</v>
      </c>
      <c r="AS8" s="9">
        <v>4575423</v>
      </c>
      <c r="AT8" s="84">
        <v>2706521</v>
      </c>
      <c r="AU8" s="84">
        <v>2627439</v>
      </c>
      <c r="AV8" s="84">
        <v>-360130</v>
      </c>
      <c r="AW8" s="84">
        <v>1307766</v>
      </c>
      <c r="AX8" s="84">
        <v>121693</v>
      </c>
      <c r="AY8" s="84">
        <v>1498814</v>
      </c>
      <c r="AZ8" s="84">
        <v>1605562</v>
      </c>
      <c r="BA8" s="84">
        <v>6248124</v>
      </c>
      <c r="BB8" s="9">
        <v>-12074844</v>
      </c>
      <c r="BC8" s="9">
        <v>-14811107</v>
      </c>
      <c r="BD8" s="103">
        <v>1003051</v>
      </c>
      <c r="BE8" s="103">
        <v>4177724</v>
      </c>
      <c r="BF8" s="84">
        <v>-3009726</v>
      </c>
      <c r="BG8" s="84">
        <v>4631884</v>
      </c>
      <c r="BH8" s="103">
        <v>-6368683</v>
      </c>
      <c r="BI8" s="103">
        <v>-13072670</v>
      </c>
      <c r="BJ8" s="103">
        <v>-4980701</v>
      </c>
      <c r="BK8" s="103">
        <v>-11807714</v>
      </c>
      <c r="BL8" s="103">
        <v>-1325850</v>
      </c>
      <c r="BM8" s="103">
        <v>-9676</v>
      </c>
      <c r="BN8" s="72">
        <f t="shared" si="0"/>
        <v>-5422503.8900000006</v>
      </c>
      <c r="BO8" s="72">
        <f t="shared" si="1"/>
        <v>46174978.409999996</v>
      </c>
    </row>
    <row r="9" spans="1:67" x14ac:dyDescent="0.25">
      <c r="A9" s="3" t="s">
        <v>257</v>
      </c>
      <c r="B9" s="9"/>
      <c r="C9" s="9"/>
      <c r="D9" s="9"/>
      <c r="E9" s="9"/>
      <c r="F9" s="9"/>
      <c r="G9" s="9"/>
      <c r="H9" s="9"/>
      <c r="I9" s="9"/>
      <c r="J9" s="9"/>
      <c r="K9" s="9"/>
      <c r="L9" s="84"/>
      <c r="M9" s="84"/>
      <c r="N9" s="9"/>
      <c r="O9" s="9"/>
      <c r="P9" s="9"/>
      <c r="Q9" s="9"/>
      <c r="R9" s="9"/>
      <c r="S9" s="9"/>
      <c r="T9" s="9"/>
      <c r="U9" s="9"/>
      <c r="V9" s="84"/>
      <c r="W9" s="84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72"/>
      <c r="BO9" s="72"/>
    </row>
    <row r="10" spans="1:67" x14ac:dyDescent="0.25">
      <c r="A10" s="2" t="s">
        <v>258</v>
      </c>
      <c r="B10" s="84">
        <v>16738</v>
      </c>
      <c r="C10" s="84">
        <v>83487</v>
      </c>
      <c r="D10" s="84">
        <v>54190</v>
      </c>
      <c r="E10" s="84">
        <v>208442</v>
      </c>
      <c r="F10" s="103">
        <v>158543</v>
      </c>
      <c r="G10" s="103">
        <v>1232044</v>
      </c>
      <c r="H10" s="84">
        <v>896279</v>
      </c>
      <c r="I10" s="84">
        <v>3071216</v>
      </c>
      <c r="J10" s="84">
        <v>216522</v>
      </c>
      <c r="K10" s="84">
        <v>607427</v>
      </c>
      <c r="L10" s="84">
        <v>175709</v>
      </c>
      <c r="M10" s="84">
        <v>688383</v>
      </c>
      <c r="N10" s="103">
        <v>968755.61</v>
      </c>
      <c r="O10" s="103">
        <v>3760059.24</v>
      </c>
      <c r="P10" s="84">
        <v>11892</v>
      </c>
      <c r="Q10" s="84">
        <v>54236</v>
      </c>
      <c r="R10" s="84">
        <v>199912</v>
      </c>
      <c r="S10" s="84">
        <v>712524</v>
      </c>
      <c r="T10" s="84">
        <v>179258</v>
      </c>
      <c r="U10" s="84">
        <v>558169</v>
      </c>
      <c r="V10" s="84">
        <v>347319</v>
      </c>
      <c r="W10" s="84">
        <v>1661112</v>
      </c>
      <c r="X10" s="84">
        <v>1111110</v>
      </c>
      <c r="Y10" s="84">
        <v>4361414</v>
      </c>
      <c r="Z10" s="84">
        <v>491623</v>
      </c>
      <c r="AA10" s="84">
        <v>1837001</v>
      </c>
      <c r="AB10" s="84">
        <v>23694</v>
      </c>
      <c r="AC10" s="84">
        <v>110568</v>
      </c>
      <c r="AD10" s="84">
        <v>123263</v>
      </c>
      <c r="AE10" s="84">
        <v>552007</v>
      </c>
      <c r="AF10" s="84">
        <v>52579</v>
      </c>
      <c r="AG10" s="84">
        <v>226986</v>
      </c>
      <c r="AH10" s="103">
        <v>51599</v>
      </c>
      <c r="AI10" s="103">
        <v>176940</v>
      </c>
      <c r="AJ10" s="84">
        <v>88292</v>
      </c>
      <c r="AK10" s="84">
        <v>297261</v>
      </c>
      <c r="AL10" s="9"/>
      <c r="AM10" s="9"/>
      <c r="AN10" s="84">
        <v>32401</v>
      </c>
      <c r="AO10" s="84">
        <v>154547</v>
      </c>
      <c r="AP10" s="84">
        <v>51880</v>
      </c>
      <c r="AQ10" s="84">
        <v>119848</v>
      </c>
      <c r="AR10" s="9">
        <v>505869</v>
      </c>
      <c r="AS10" s="9">
        <v>1445968</v>
      </c>
      <c r="AT10" s="84">
        <v>151444</v>
      </c>
      <c r="AU10" s="84">
        <v>568426</v>
      </c>
      <c r="AV10" s="84">
        <v>183511</v>
      </c>
      <c r="AW10" s="84">
        <v>789267</v>
      </c>
      <c r="AX10" s="84">
        <v>391490</v>
      </c>
      <c r="AY10" s="84">
        <v>1356087</v>
      </c>
      <c r="AZ10" s="84">
        <v>251587</v>
      </c>
      <c r="BA10" s="84">
        <v>1026719</v>
      </c>
      <c r="BB10" s="84">
        <v>374673</v>
      </c>
      <c r="BC10" s="84">
        <v>1717845</v>
      </c>
      <c r="BD10" s="103">
        <v>520764</v>
      </c>
      <c r="BE10" s="103">
        <v>1925485</v>
      </c>
      <c r="BF10" s="84">
        <v>2890591</v>
      </c>
      <c r="BG10" s="84">
        <v>11189368</v>
      </c>
      <c r="BH10" s="103">
        <v>-305087</v>
      </c>
      <c r="BI10" s="103">
        <v>444914</v>
      </c>
      <c r="BJ10" s="103">
        <v>729632</v>
      </c>
      <c r="BK10" s="103">
        <v>2561330</v>
      </c>
      <c r="BL10" s="103">
        <v>-53955</v>
      </c>
      <c r="BM10" s="103">
        <v>143650</v>
      </c>
      <c r="BN10" s="72">
        <f t="shared" ref="BN10:BN15" si="2">B10+D10+F10+H10+J10+L10+N10+P10+R10+T10+V10+X10+Z10+AB10+AD10+AF10+AH10+AJ10+AL10+AN10+AP10+AR10+AT10+AV10+AX10+AZ10+BB10+BD10+BF10+BH10+BJ10+BL10</f>
        <v>10892077.609999999</v>
      </c>
      <c r="BO10" s="72">
        <f t="shared" ref="BO10:BO15" si="3">C10+E10+G10+I10+K10+M10+O10+Q10+S10+U10+W10+Y10+AA10+AC10+AE10+AG10+AI10+AK10+AM10+AO10+AQ10+AS10+AU10+AW10+AY10+BA10+BC10+BE10+BG10+BI10+BK10+BM10</f>
        <v>43642730.240000002</v>
      </c>
    </row>
    <row r="11" spans="1:67" x14ac:dyDescent="0.25">
      <c r="A11" s="2" t="s">
        <v>259</v>
      </c>
      <c r="B11" s="84">
        <v>7805</v>
      </c>
      <c r="C11" s="84">
        <v>43198</v>
      </c>
      <c r="D11" s="84">
        <v>15770</v>
      </c>
      <c r="E11" s="84">
        <v>29422</v>
      </c>
      <c r="F11" s="103">
        <v>160124</v>
      </c>
      <c r="G11" s="103">
        <v>194851</v>
      </c>
      <c r="H11" s="84">
        <v>143419</v>
      </c>
      <c r="I11" s="84">
        <v>977940</v>
      </c>
      <c r="J11" s="84">
        <v>16442</v>
      </c>
      <c r="K11" s="84">
        <v>80835</v>
      </c>
      <c r="L11" s="84">
        <v>15946</v>
      </c>
      <c r="M11" s="84">
        <v>145526</v>
      </c>
      <c r="N11" s="103">
        <v>289918.83</v>
      </c>
      <c r="O11" s="103">
        <v>821746.18</v>
      </c>
      <c r="P11" s="84">
        <v>11090</v>
      </c>
      <c r="Q11" s="84">
        <v>35097</v>
      </c>
      <c r="R11" s="84">
        <v>18578</v>
      </c>
      <c r="S11" s="84">
        <v>147896</v>
      </c>
      <c r="T11" s="84">
        <v>100446</v>
      </c>
      <c r="U11" s="84">
        <v>111257</v>
      </c>
      <c r="V11" s="84">
        <v>31540</v>
      </c>
      <c r="W11" s="84">
        <v>199059</v>
      </c>
      <c r="X11" s="84">
        <v>185662</v>
      </c>
      <c r="Y11" s="84">
        <v>1159659</v>
      </c>
      <c r="Z11" s="84">
        <v>11407</v>
      </c>
      <c r="AA11" s="84">
        <v>134830</v>
      </c>
      <c r="AB11" s="84">
        <v>-1438</v>
      </c>
      <c r="AC11" s="84">
        <v>34253</v>
      </c>
      <c r="AD11" s="84">
        <v>-324</v>
      </c>
      <c r="AE11" s="84">
        <v>21005</v>
      </c>
      <c r="AF11" s="84">
        <v>3338</v>
      </c>
      <c r="AG11" s="84">
        <v>48679</v>
      </c>
      <c r="AH11" s="103">
        <v>23460</v>
      </c>
      <c r="AI11" s="103">
        <v>53976</v>
      </c>
      <c r="AJ11" s="84">
        <v>-6053</v>
      </c>
      <c r="AK11" s="84">
        <v>12811</v>
      </c>
      <c r="AL11" s="9"/>
      <c r="AM11" s="9"/>
      <c r="AN11" s="84">
        <v>47754</v>
      </c>
      <c r="AO11" s="84">
        <v>76229</v>
      </c>
      <c r="AP11" s="84">
        <v>4717</v>
      </c>
      <c r="AQ11" s="84">
        <v>9700</v>
      </c>
      <c r="AR11" s="9">
        <v>103371</v>
      </c>
      <c r="AS11" s="9">
        <v>421997</v>
      </c>
      <c r="AT11" s="84"/>
      <c r="AU11" s="84">
        <v>24456</v>
      </c>
      <c r="AV11" s="84">
        <v>52326</v>
      </c>
      <c r="AW11" s="84">
        <v>215625</v>
      </c>
      <c r="AX11" s="84">
        <v>309407</v>
      </c>
      <c r="AY11" s="84">
        <v>785385</v>
      </c>
      <c r="AZ11" s="84">
        <v>358883</v>
      </c>
      <c r="BA11" s="84">
        <v>451862</v>
      </c>
      <c r="BB11" s="84">
        <v>7201</v>
      </c>
      <c r="BC11" s="84">
        <v>13724</v>
      </c>
      <c r="BD11" s="103">
        <v>-299</v>
      </c>
      <c r="BE11" s="103">
        <v>355531</v>
      </c>
      <c r="BF11" s="84">
        <v>3777922</v>
      </c>
      <c r="BG11" s="84">
        <v>8545386</v>
      </c>
      <c r="BH11" s="103">
        <v>-114366</v>
      </c>
      <c r="BI11" s="103">
        <v>200972</v>
      </c>
      <c r="BJ11" s="103">
        <v>228994</v>
      </c>
      <c r="BK11" s="103">
        <v>861046</v>
      </c>
      <c r="BL11" s="103">
        <v>1788</v>
      </c>
      <c r="BM11" s="103">
        <v>12300</v>
      </c>
      <c r="BN11" s="72">
        <f t="shared" si="2"/>
        <v>5804828.8300000001</v>
      </c>
      <c r="BO11" s="72">
        <f t="shared" si="3"/>
        <v>16226253.18</v>
      </c>
    </row>
    <row r="12" spans="1:67" x14ac:dyDescent="0.25">
      <c r="A12" s="2" t="s">
        <v>260</v>
      </c>
      <c r="B12" s="84">
        <v>-3373</v>
      </c>
      <c r="C12" s="84">
        <v>-18555</v>
      </c>
      <c r="D12" s="84"/>
      <c r="E12" s="84"/>
      <c r="F12" s="9"/>
      <c r="G12" s="9"/>
      <c r="H12" s="84">
        <v>-56149</v>
      </c>
      <c r="I12" s="84">
        <v>-271295</v>
      </c>
      <c r="J12" s="9"/>
      <c r="K12" s="9"/>
      <c r="L12" s="9"/>
      <c r="M12" s="9"/>
      <c r="N12" s="103">
        <v>-31960.47</v>
      </c>
      <c r="O12" s="103">
        <v>-228254.51</v>
      </c>
      <c r="P12" s="84">
        <v>-112</v>
      </c>
      <c r="Q12" s="84">
        <v>-104096</v>
      </c>
      <c r="R12" s="84">
        <v>-1312</v>
      </c>
      <c r="S12" s="84">
        <v>-36665</v>
      </c>
      <c r="T12" s="9"/>
      <c r="U12" s="9"/>
      <c r="V12" s="18"/>
      <c r="W12" s="9"/>
      <c r="X12" s="84">
        <v>-30452</v>
      </c>
      <c r="Y12" s="84">
        <v>-474793</v>
      </c>
      <c r="Z12" s="9"/>
      <c r="AA12" s="9"/>
      <c r="AB12" s="84">
        <v>-22</v>
      </c>
      <c r="AC12" s="84">
        <v>-246</v>
      </c>
      <c r="AD12" s="9"/>
      <c r="AE12" s="9"/>
      <c r="AF12" s="84">
        <v>16</v>
      </c>
      <c r="AG12" s="84">
        <v>-368</v>
      </c>
      <c r="AH12" s="84"/>
      <c r="AI12" s="103">
        <v>-36125</v>
      </c>
      <c r="AJ12" s="9"/>
      <c r="AK12" s="9"/>
      <c r="AL12" s="9"/>
      <c r="AM12" s="9"/>
      <c r="AN12" s="9"/>
      <c r="AO12" s="9"/>
      <c r="AP12" s="9"/>
      <c r="AQ12" s="9"/>
      <c r="AR12" s="9">
        <v>-7189</v>
      </c>
      <c r="AS12" s="9">
        <v>-46324</v>
      </c>
      <c r="AT12" s="9"/>
      <c r="AU12" s="9"/>
      <c r="AV12" s="84">
        <v>-9765</v>
      </c>
      <c r="AW12" s="84">
        <v>-95222</v>
      </c>
      <c r="AX12" s="84">
        <v>-46421</v>
      </c>
      <c r="AY12" s="84">
        <v>-80918</v>
      </c>
      <c r="AZ12" s="9"/>
      <c r="BA12" s="9"/>
      <c r="BB12" s="9"/>
      <c r="BC12" s="9"/>
      <c r="BD12" s="103">
        <v>-50063</v>
      </c>
      <c r="BE12" s="103">
        <v>-78385</v>
      </c>
      <c r="BF12" s="9"/>
      <c r="BG12" s="9"/>
      <c r="BH12" s="9"/>
      <c r="BI12" s="9"/>
      <c r="BJ12" s="9"/>
      <c r="BK12" s="9"/>
      <c r="BL12" s="103">
        <v>7336</v>
      </c>
      <c r="BM12" s="103">
        <v>-9600</v>
      </c>
      <c r="BN12" s="72">
        <f t="shared" si="2"/>
        <v>-229466.47</v>
      </c>
      <c r="BO12" s="72">
        <f t="shared" si="3"/>
        <v>-1480846.51</v>
      </c>
    </row>
    <row r="13" spans="1:67" ht="15" customHeight="1" x14ac:dyDescent="0.25">
      <c r="A13" s="2" t="s">
        <v>261</v>
      </c>
      <c r="B13" s="9"/>
      <c r="C13" s="9"/>
      <c r="D13" s="84">
        <v>-4027</v>
      </c>
      <c r="E13" s="84">
        <v>-18027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>
        <v>-5493</v>
      </c>
      <c r="AK13" s="9">
        <v>-14984</v>
      </c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72">
        <f t="shared" si="2"/>
        <v>-9520</v>
      </c>
      <c r="BO13" s="72">
        <f t="shared" si="3"/>
        <v>-33011</v>
      </c>
    </row>
    <row r="14" spans="1:67" x14ac:dyDescent="0.25">
      <c r="A14" s="9" t="s">
        <v>262</v>
      </c>
      <c r="B14" s="9"/>
      <c r="C14" s="9"/>
      <c r="D14" s="9"/>
      <c r="E14" s="9"/>
      <c r="F14" s="84"/>
      <c r="G14" s="84"/>
      <c r="H14" s="84">
        <v>-151458</v>
      </c>
      <c r="I14" s="84">
        <v>-477999</v>
      </c>
      <c r="J14" s="84">
        <v>-7642</v>
      </c>
      <c r="K14" s="84">
        <v>-19114</v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84"/>
      <c r="AK14" s="84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84">
        <v>-7210</v>
      </c>
      <c r="BA14" s="84">
        <v>-25577</v>
      </c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103">
        <v>3151</v>
      </c>
      <c r="BM14" s="84">
        <v>-11746</v>
      </c>
      <c r="BN14" s="72">
        <f t="shared" si="2"/>
        <v>-163159</v>
      </c>
      <c r="BO14" s="72">
        <f t="shared" si="3"/>
        <v>-534436</v>
      </c>
    </row>
    <row r="15" spans="1:67" x14ac:dyDescent="0.25">
      <c r="A15" s="3" t="s">
        <v>263</v>
      </c>
      <c r="B15" s="9">
        <f>B16-B14-B13-B12-B11-B10-B8-B7-B6</f>
        <v>59</v>
      </c>
      <c r="C15" s="9">
        <f t="shared" ref="C15:AG15" si="4">C16-C14-C13-C12-C11-C10-C8-C7-C6</f>
        <v>25059</v>
      </c>
      <c r="D15" s="9">
        <f t="shared" si="4"/>
        <v>1</v>
      </c>
      <c r="E15" s="9">
        <f t="shared" si="4"/>
        <v>0</v>
      </c>
      <c r="F15" s="9">
        <f t="shared" si="4"/>
        <v>26858</v>
      </c>
      <c r="G15" s="9">
        <f t="shared" si="4"/>
        <v>47283</v>
      </c>
      <c r="H15" s="9">
        <f t="shared" si="4"/>
        <v>0</v>
      </c>
      <c r="I15" s="9">
        <f t="shared" si="4"/>
        <v>3635</v>
      </c>
      <c r="J15" s="9">
        <f t="shared" si="4"/>
        <v>0</v>
      </c>
      <c r="K15" s="9">
        <f t="shared" si="4"/>
        <v>1</v>
      </c>
      <c r="L15" s="9">
        <f t="shared" si="4"/>
        <v>0</v>
      </c>
      <c r="M15" s="9">
        <f t="shared" si="4"/>
        <v>0</v>
      </c>
      <c r="N15" s="9">
        <f t="shared" si="4"/>
        <v>11949.249999999985</v>
      </c>
      <c r="O15" s="9">
        <f t="shared" si="4"/>
        <v>56606.870000000345</v>
      </c>
      <c r="P15" s="9">
        <f t="shared" si="4"/>
        <v>0</v>
      </c>
      <c r="Q15" s="9">
        <f t="shared" si="4"/>
        <v>0</v>
      </c>
      <c r="R15" s="9">
        <f t="shared" si="4"/>
        <v>-6030</v>
      </c>
      <c r="S15" s="9">
        <f t="shared" si="4"/>
        <v>-15145</v>
      </c>
      <c r="T15" s="9">
        <f t="shared" si="4"/>
        <v>-180</v>
      </c>
      <c r="U15" s="9">
        <f t="shared" si="4"/>
        <v>0</v>
      </c>
      <c r="V15" s="9">
        <f t="shared" si="4"/>
        <v>0</v>
      </c>
      <c r="W15" s="9">
        <f t="shared" si="4"/>
        <v>0</v>
      </c>
      <c r="X15" s="9">
        <f t="shared" si="4"/>
        <v>122087</v>
      </c>
      <c r="Y15" s="9">
        <f t="shared" si="4"/>
        <v>123825</v>
      </c>
      <c r="Z15" s="9">
        <f t="shared" si="4"/>
        <v>20016</v>
      </c>
      <c r="AA15" s="9">
        <f t="shared" si="4"/>
        <v>59140</v>
      </c>
      <c r="AB15" s="9">
        <f t="shared" si="4"/>
        <v>-16</v>
      </c>
      <c r="AC15" s="9">
        <f t="shared" si="4"/>
        <v>291</v>
      </c>
      <c r="AD15" s="9">
        <f t="shared" si="4"/>
        <v>0</v>
      </c>
      <c r="AE15" s="9">
        <f t="shared" si="4"/>
        <v>2</v>
      </c>
      <c r="AF15" s="9">
        <f t="shared" si="4"/>
        <v>10</v>
      </c>
      <c r="AG15" s="9">
        <f t="shared" si="4"/>
        <v>10</v>
      </c>
      <c r="AH15" s="9">
        <f t="shared" ref="AH15:BM15" si="5">AH16-AH14-AH13-AH12-AH11-AH10-AH8-AH7-AH6</f>
        <v>0</v>
      </c>
      <c r="AI15" s="9">
        <f t="shared" si="5"/>
        <v>0</v>
      </c>
      <c r="AJ15" s="9">
        <f t="shared" si="5"/>
        <v>47</v>
      </c>
      <c r="AK15" s="9">
        <f t="shared" si="5"/>
        <v>332</v>
      </c>
      <c r="AL15" s="9">
        <f t="shared" si="5"/>
        <v>71609</v>
      </c>
      <c r="AM15" s="9">
        <f t="shared" si="5"/>
        <v>347716</v>
      </c>
      <c r="AN15" s="9">
        <f t="shared" si="5"/>
        <v>28</v>
      </c>
      <c r="AO15" s="9">
        <f t="shared" si="5"/>
        <v>71</v>
      </c>
      <c r="AP15" s="9">
        <f t="shared" si="5"/>
        <v>3772</v>
      </c>
      <c r="AQ15" s="9">
        <f t="shared" si="5"/>
        <v>3794</v>
      </c>
      <c r="AR15" s="9">
        <f t="shared" si="5"/>
        <v>264859</v>
      </c>
      <c r="AS15" s="9">
        <f t="shared" si="5"/>
        <v>496211</v>
      </c>
      <c r="AT15" s="9">
        <f t="shared" si="5"/>
        <v>8232</v>
      </c>
      <c r="AU15" s="9">
        <f t="shared" si="5"/>
        <v>8232</v>
      </c>
      <c r="AV15" s="9">
        <f t="shared" si="5"/>
        <v>193</v>
      </c>
      <c r="AW15" s="9">
        <f t="shared" si="5"/>
        <v>554</v>
      </c>
      <c r="AX15" s="9">
        <f t="shared" si="5"/>
        <v>13153</v>
      </c>
      <c r="AY15" s="9">
        <f t="shared" si="5"/>
        <v>39332</v>
      </c>
      <c r="AZ15" s="9">
        <f t="shared" si="5"/>
        <v>0</v>
      </c>
      <c r="BA15" s="9">
        <f t="shared" si="5"/>
        <v>0</v>
      </c>
      <c r="BB15" s="9">
        <f t="shared" si="5"/>
        <v>994</v>
      </c>
      <c r="BC15" s="9">
        <f t="shared" si="5"/>
        <v>3214</v>
      </c>
      <c r="BD15" s="9">
        <f t="shared" si="5"/>
        <v>14629</v>
      </c>
      <c r="BE15" s="9">
        <f t="shared" si="5"/>
        <v>54486</v>
      </c>
      <c r="BF15" s="9">
        <f t="shared" si="5"/>
        <v>129747</v>
      </c>
      <c r="BG15" s="9">
        <f t="shared" si="5"/>
        <v>306934</v>
      </c>
      <c r="BH15" s="9">
        <f t="shared" si="5"/>
        <v>54396</v>
      </c>
      <c r="BI15" s="9">
        <f t="shared" si="5"/>
        <v>275237</v>
      </c>
      <c r="BJ15" s="9">
        <f t="shared" si="5"/>
        <v>105469</v>
      </c>
      <c r="BK15" s="9">
        <f t="shared" si="5"/>
        <v>84246</v>
      </c>
      <c r="BL15" s="9">
        <f t="shared" si="5"/>
        <v>-193</v>
      </c>
      <c r="BM15" s="9">
        <f t="shared" si="5"/>
        <v>0</v>
      </c>
      <c r="BN15" s="72">
        <f t="shared" si="2"/>
        <v>841689.25</v>
      </c>
      <c r="BO15" s="72">
        <f t="shared" si="3"/>
        <v>1921066.8700000003</v>
      </c>
    </row>
    <row r="16" spans="1:67" s="7" customFormat="1" x14ac:dyDescent="0.25">
      <c r="A16" s="3" t="s">
        <v>26</v>
      </c>
      <c r="B16" s="10">
        <v>-315146</v>
      </c>
      <c r="C16" s="10">
        <v>-1319979</v>
      </c>
      <c r="D16" s="10">
        <v>-198396</v>
      </c>
      <c r="E16" s="10">
        <v>-1893127</v>
      </c>
      <c r="F16" s="10">
        <v>2512607</v>
      </c>
      <c r="G16" s="10">
        <v>9728692</v>
      </c>
      <c r="H16" s="10">
        <v>3999393</v>
      </c>
      <c r="I16" s="10">
        <v>18092259</v>
      </c>
      <c r="J16" s="10">
        <v>3450288</v>
      </c>
      <c r="K16" s="10">
        <v>4931707</v>
      </c>
      <c r="L16" s="10">
        <v>1270652</v>
      </c>
      <c r="M16" s="10">
        <v>6638307</v>
      </c>
      <c r="N16" s="10">
        <v>1175543.33</v>
      </c>
      <c r="O16" s="10">
        <v>6001129.1900000004</v>
      </c>
      <c r="P16" s="10">
        <v>-298526</v>
      </c>
      <c r="Q16" s="10">
        <v>-1037307</v>
      </c>
      <c r="R16" s="10">
        <v>2141317</v>
      </c>
      <c r="S16" s="10">
        <v>3771907</v>
      </c>
      <c r="T16" s="10">
        <v>-1251507</v>
      </c>
      <c r="U16" s="10">
        <v>-1185443</v>
      </c>
      <c r="V16" s="10">
        <v>1458839</v>
      </c>
      <c r="W16" s="10">
        <v>9168928</v>
      </c>
      <c r="X16" s="10">
        <v>9207268</v>
      </c>
      <c r="Y16" s="10">
        <v>24724554</v>
      </c>
      <c r="Z16" s="10">
        <v>696824</v>
      </c>
      <c r="AA16" s="10">
        <v>5465618</v>
      </c>
      <c r="AB16" s="10">
        <v>-140881</v>
      </c>
      <c r="AC16" s="10">
        <v>29832</v>
      </c>
      <c r="AD16" s="10">
        <v>1674549</v>
      </c>
      <c r="AE16" s="10">
        <v>2153004</v>
      </c>
      <c r="AF16" s="10">
        <v>-11384</v>
      </c>
      <c r="AG16" s="10">
        <v>568987</v>
      </c>
      <c r="AH16" s="10">
        <v>1220311</v>
      </c>
      <c r="AI16" s="10">
        <v>246756</v>
      </c>
      <c r="AJ16" s="10">
        <v>779413</v>
      </c>
      <c r="AK16" s="10">
        <v>1544992</v>
      </c>
      <c r="AL16" s="10">
        <v>-1917891</v>
      </c>
      <c r="AM16" s="10">
        <v>1964653</v>
      </c>
      <c r="AN16" s="10">
        <v>-2805</v>
      </c>
      <c r="AO16" s="10">
        <v>-1135993</v>
      </c>
      <c r="AP16" s="10">
        <v>-183075</v>
      </c>
      <c r="AQ16" s="10">
        <v>-380291</v>
      </c>
      <c r="AR16" s="10">
        <v>2420770</v>
      </c>
      <c r="AS16" s="10">
        <v>7274345</v>
      </c>
      <c r="AT16" s="10">
        <v>2866197</v>
      </c>
      <c r="AU16" s="10">
        <v>3228553</v>
      </c>
      <c r="AV16" s="10">
        <v>-47424</v>
      </c>
      <c r="AW16" s="10">
        <v>2568442</v>
      </c>
      <c r="AX16" s="10">
        <v>1808133</v>
      </c>
      <c r="AY16" s="10">
        <v>7240924</v>
      </c>
      <c r="AZ16" s="10">
        <v>2287112</v>
      </c>
      <c r="BA16" s="10">
        <v>7879138</v>
      </c>
      <c r="BB16" s="10">
        <v>-11691976</v>
      </c>
      <c r="BC16" s="10">
        <v>-13076324</v>
      </c>
      <c r="BD16" s="10">
        <v>1119727</v>
      </c>
      <c r="BE16" s="10">
        <v>6486524</v>
      </c>
      <c r="BF16" s="10">
        <v>5622420</v>
      </c>
      <c r="BG16" s="10">
        <v>27030681</v>
      </c>
      <c r="BH16" s="10">
        <v>-4554157</v>
      </c>
      <c r="BI16" s="10">
        <v>-11407130</v>
      </c>
      <c r="BJ16" s="10">
        <v>-3329661</v>
      </c>
      <c r="BK16" s="10">
        <v>-7026307</v>
      </c>
      <c r="BL16" s="10">
        <v>-1220101</v>
      </c>
      <c r="BM16" s="10">
        <v>414808</v>
      </c>
      <c r="BN16" s="68">
        <f>B16+D16+F16+H16+J16+L16+N16+P16+R16+T16+V16+X16+Z16+AB16+AD16+AF16+AH16+AJ16+AL16+AN16+AP16+AR16+AT16+AV16+AX16+AZ16+BB16+BD16+BF16+BH16+BJ16+BL16</f>
        <v>20548433.329999998</v>
      </c>
      <c r="BO16" s="68">
        <f>C16+E16+G16+I16+K16+M16+O16+Q16+S16+U16+W16+Y16+AA16+AC16+AE16+AG16+AI16+AK16+AM16+AO16+AQ16+AS16+AU16+AW16+AY16+BA16+BC16+BE16+BG16+BI16+BK16+BM16</f>
        <v>118692839.19</v>
      </c>
    </row>
    <row r="17" spans="1:67" x14ac:dyDescent="0.25">
      <c r="A17" s="3" t="s">
        <v>264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84"/>
      <c r="W17" s="84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71"/>
      <c r="BO17" s="71"/>
    </row>
    <row r="18" spans="1:67" x14ac:dyDescent="0.25">
      <c r="A18" s="2" t="s">
        <v>265</v>
      </c>
      <c r="B18" s="9"/>
      <c r="C18" s="9"/>
      <c r="D18" s="84">
        <v>15000</v>
      </c>
      <c r="E18" s="84">
        <v>35000</v>
      </c>
      <c r="F18" s="9"/>
      <c r="G18" s="9"/>
      <c r="H18" s="9"/>
      <c r="I18" s="84">
        <v>-340409</v>
      </c>
      <c r="J18" s="84"/>
      <c r="K18" s="84">
        <v>247500</v>
      </c>
      <c r="L18" s="84">
        <v>-50600</v>
      </c>
      <c r="M18" s="84">
        <v>9200</v>
      </c>
      <c r="N18" s="84"/>
      <c r="O18" s="9"/>
      <c r="P18" s="9"/>
      <c r="Q18" s="9">
        <v>-75000</v>
      </c>
      <c r="R18" s="84">
        <v>83035</v>
      </c>
      <c r="S18" s="84">
        <v>171270</v>
      </c>
      <c r="T18" s="84"/>
      <c r="U18" s="84"/>
      <c r="V18" s="84">
        <v>-27438</v>
      </c>
      <c r="W18" s="84">
        <v>311725</v>
      </c>
      <c r="X18" s="84"/>
      <c r="Y18" s="84">
        <v>-669145</v>
      </c>
      <c r="Z18" s="9">
        <v>-898500</v>
      </c>
      <c r="AA18" s="84">
        <v>-698500</v>
      </c>
      <c r="AB18" s="9"/>
      <c r="AC18" s="9"/>
      <c r="AD18" s="9"/>
      <c r="AE18" s="9"/>
      <c r="AF18" s="84">
        <v>-211838</v>
      </c>
      <c r="AG18" s="84">
        <v>-24776</v>
      </c>
      <c r="AH18" s="84"/>
      <c r="AI18" s="103">
        <v>-189695</v>
      </c>
      <c r="AJ18" s="84">
        <v>-150226</v>
      </c>
      <c r="AK18" s="84">
        <v>-25226</v>
      </c>
      <c r="AL18" s="9"/>
      <c r="AM18" s="9"/>
      <c r="AN18" s="84">
        <v>3748</v>
      </c>
      <c r="AO18" s="84">
        <v>27527</v>
      </c>
      <c r="AP18" s="9"/>
      <c r="AQ18" s="9"/>
      <c r="AR18" s="9">
        <v>-129865</v>
      </c>
      <c r="AS18" s="9">
        <v>259883</v>
      </c>
      <c r="AT18" s="9"/>
      <c r="AU18" s="9"/>
      <c r="AV18" s="9"/>
      <c r="AW18" s="9"/>
      <c r="AX18" s="84">
        <v>-25321</v>
      </c>
      <c r="AY18" s="84">
        <v>-39558</v>
      </c>
      <c r="AZ18" s="9"/>
      <c r="BA18" s="9"/>
      <c r="BB18" s="9"/>
      <c r="BC18" s="9"/>
      <c r="BD18" s="9"/>
      <c r="BE18" s="9"/>
      <c r="BF18" s="84">
        <v>7871</v>
      </c>
      <c r="BG18" s="84">
        <v>183297</v>
      </c>
      <c r="BH18" s="103">
        <v>-1168</v>
      </c>
      <c r="BI18" s="103">
        <v>591</v>
      </c>
      <c r="BJ18" s="103">
        <v>-42</v>
      </c>
      <c r="BK18" s="103">
        <v>3256</v>
      </c>
      <c r="BL18" s="9"/>
      <c r="BM18" s="9"/>
      <c r="BN18" s="72">
        <f t="shared" ref="BN18:BN23" si="6">B18+D18+F18+H18+J18+L18+N18+P18+R18+T18+V18+X18+Z18+AB18+AD18+AF18+AH18+AJ18+AL18+AN18+AP18+AR18+AT18+AV18+AX18+AZ18+BB18+BD18+BF18+BH18+BJ18+BL18</f>
        <v>-1385344</v>
      </c>
      <c r="BO18" s="72">
        <f t="shared" ref="BO18:BO23" si="7">C18+E18+G18+I18+K18+M18+O18+Q18+S18+U18+W18+Y18+AA18+AC18+AE18+AG18+AI18+AK18+AM18+AO18+AQ18+AS18+AU18+AW18+AY18+BA18+BC18+BE18+BG18+BI18+BK18+BM18</f>
        <v>-813060</v>
      </c>
    </row>
    <row r="19" spans="1:67" x14ac:dyDescent="0.25">
      <c r="A19" s="2" t="s">
        <v>266</v>
      </c>
      <c r="B19" s="9"/>
      <c r="C19" s="9"/>
      <c r="D19" s="9"/>
      <c r="E19" s="9"/>
      <c r="F19" s="103">
        <v>1979162</v>
      </c>
      <c r="G19" s="103">
        <v>1979162</v>
      </c>
      <c r="H19" s="84">
        <v>-10032</v>
      </c>
      <c r="I19" s="84">
        <v>-14370</v>
      </c>
      <c r="J19" s="84">
        <v>1631</v>
      </c>
      <c r="K19" s="84">
        <v>47846.23</v>
      </c>
      <c r="L19" s="84">
        <v>-1859838</v>
      </c>
      <c r="M19" s="84">
        <v>-823438</v>
      </c>
      <c r="N19" s="84">
        <v>-67.58</v>
      </c>
      <c r="O19" s="84">
        <v>-30.8</v>
      </c>
      <c r="P19" s="9"/>
      <c r="Q19" s="9"/>
      <c r="R19" s="9"/>
      <c r="S19" s="84">
        <v>2612</v>
      </c>
      <c r="T19" s="84"/>
      <c r="U19" s="84"/>
      <c r="V19" s="84">
        <v>-19766</v>
      </c>
      <c r="W19" s="84">
        <v>-11816</v>
      </c>
      <c r="X19" s="84">
        <v>669</v>
      </c>
      <c r="Y19" s="84">
        <v>110384</v>
      </c>
      <c r="Z19" s="9"/>
      <c r="AA19" s="9"/>
      <c r="AB19" s="9">
        <v>-55</v>
      </c>
      <c r="AC19" s="9">
        <v>38</v>
      </c>
      <c r="AD19" s="9">
        <v>-81085</v>
      </c>
      <c r="AE19" s="9">
        <v>-81085</v>
      </c>
      <c r="AF19" s="84">
        <v>976</v>
      </c>
      <c r="AG19" s="84">
        <v>1438</v>
      </c>
      <c r="AH19" s="84">
        <v>459</v>
      </c>
      <c r="AI19" s="103">
        <v>3002</v>
      </c>
      <c r="AJ19" s="84">
        <v>251548</v>
      </c>
      <c r="AK19" s="84">
        <v>283451</v>
      </c>
      <c r="AL19" s="84">
        <v>1299169</v>
      </c>
      <c r="AM19" s="84">
        <v>3199169</v>
      </c>
      <c r="AN19" s="9"/>
      <c r="AO19" s="9"/>
      <c r="AP19" s="9"/>
      <c r="AQ19" s="9"/>
      <c r="AR19" s="9">
        <v>228823</v>
      </c>
      <c r="AS19" s="9">
        <v>228823</v>
      </c>
      <c r="AT19" s="9"/>
      <c r="AU19" s="9"/>
      <c r="AV19" s="84">
        <v>5064</v>
      </c>
      <c r="AW19" s="84">
        <v>20255</v>
      </c>
      <c r="AX19" s="84">
        <v>-755</v>
      </c>
      <c r="AY19" s="84">
        <v>-2765</v>
      </c>
      <c r="AZ19" s="84">
        <v>5</v>
      </c>
      <c r="BA19" s="9">
        <v>17</v>
      </c>
      <c r="BB19" s="84">
        <v>343503</v>
      </c>
      <c r="BC19" s="84">
        <v>343532</v>
      </c>
      <c r="BD19" s="103">
        <v>51681</v>
      </c>
      <c r="BE19" s="103">
        <v>59222</v>
      </c>
      <c r="BF19" s="84">
        <v>128289</v>
      </c>
      <c r="BG19" s="84">
        <v>1102898</v>
      </c>
      <c r="BH19" s="103">
        <v>233779</v>
      </c>
      <c r="BI19" s="103">
        <v>239724</v>
      </c>
      <c r="BJ19" s="103">
        <v>361666</v>
      </c>
      <c r="BK19" s="103">
        <v>528392</v>
      </c>
      <c r="BL19" s="9"/>
      <c r="BM19" s="9"/>
      <c r="BN19" s="72">
        <f t="shared" si="6"/>
        <v>2914825.42</v>
      </c>
      <c r="BO19" s="72">
        <f t="shared" si="7"/>
        <v>7216460.4299999997</v>
      </c>
    </row>
    <row r="20" spans="1:67" x14ac:dyDescent="0.25">
      <c r="A20" s="2" t="s">
        <v>49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84">
        <v>-41</v>
      </c>
      <c r="AG20" s="84">
        <v>-41</v>
      </c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84">
        <f>48675+1063</f>
        <v>49738</v>
      </c>
      <c r="AW20" s="84">
        <f>174451+4139</f>
        <v>178590</v>
      </c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103">
        <v>-9209</v>
      </c>
      <c r="BI20" s="103">
        <v>13403</v>
      </c>
      <c r="BJ20" s="9"/>
      <c r="BK20" s="9"/>
      <c r="BL20" s="9"/>
      <c r="BM20" s="9"/>
      <c r="BN20" s="72">
        <f t="shared" si="6"/>
        <v>40488</v>
      </c>
      <c r="BO20" s="72">
        <f t="shared" si="7"/>
        <v>191952</v>
      </c>
    </row>
    <row r="21" spans="1:67" x14ac:dyDescent="0.25">
      <c r="A21" s="3" t="s">
        <v>267</v>
      </c>
      <c r="B21" s="9">
        <f>B22-B20-B19-B18</f>
        <v>1393</v>
      </c>
      <c r="C21" s="9">
        <f t="shared" ref="C21:AG21" si="8">C22-C20-C19-C18</f>
        <v>5546</v>
      </c>
      <c r="D21" s="9">
        <f t="shared" si="8"/>
        <v>15164</v>
      </c>
      <c r="E21" s="9">
        <f t="shared" si="8"/>
        <v>48480</v>
      </c>
      <c r="F21" s="9">
        <f t="shared" si="8"/>
        <v>-1793561</v>
      </c>
      <c r="G21" s="9">
        <f t="shared" si="8"/>
        <v>281442</v>
      </c>
      <c r="H21" s="9">
        <f t="shared" si="8"/>
        <v>421082</v>
      </c>
      <c r="I21" s="9">
        <f t="shared" si="8"/>
        <v>754013</v>
      </c>
      <c r="J21" s="9">
        <f t="shared" si="8"/>
        <v>3178158</v>
      </c>
      <c r="K21" s="9">
        <f t="shared" si="8"/>
        <v>3433490.77</v>
      </c>
      <c r="L21" s="9">
        <f t="shared" si="8"/>
        <v>2571332</v>
      </c>
      <c r="M21" s="9">
        <f t="shared" si="8"/>
        <v>3704708</v>
      </c>
      <c r="N21" s="9">
        <f t="shared" si="8"/>
        <v>29591.65</v>
      </c>
      <c r="O21" s="9">
        <f t="shared" si="8"/>
        <v>120189.57</v>
      </c>
      <c r="P21" s="9">
        <f t="shared" si="8"/>
        <v>1901</v>
      </c>
      <c r="Q21" s="9">
        <f t="shared" si="8"/>
        <v>3889</v>
      </c>
      <c r="R21" s="9">
        <f t="shared" si="8"/>
        <v>1741491</v>
      </c>
      <c r="S21" s="9">
        <f t="shared" si="8"/>
        <v>1790987</v>
      </c>
      <c r="T21" s="9">
        <f t="shared" si="8"/>
        <v>27542</v>
      </c>
      <c r="U21" s="9">
        <f t="shared" si="8"/>
        <v>42149</v>
      </c>
      <c r="V21" s="9">
        <f t="shared" si="8"/>
        <v>437758</v>
      </c>
      <c r="W21" s="9">
        <f t="shared" si="8"/>
        <v>951327</v>
      </c>
      <c r="X21" s="9">
        <f t="shared" si="8"/>
        <v>4705446</v>
      </c>
      <c r="Y21" s="9">
        <f t="shared" si="8"/>
        <v>5743780</v>
      </c>
      <c r="Z21" s="9">
        <f t="shared" si="8"/>
        <v>2014773</v>
      </c>
      <c r="AA21" s="9">
        <f t="shared" si="8"/>
        <v>2053852</v>
      </c>
      <c r="AB21" s="9">
        <f t="shared" si="8"/>
        <v>8418</v>
      </c>
      <c r="AC21" s="9">
        <f t="shared" si="8"/>
        <v>13487</v>
      </c>
      <c r="AD21" s="9">
        <f t="shared" si="8"/>
        <v>1677057</v>
      </c>
      <c r="AE21" s="9">
        <f t="shared" si="8"/>
        <v>1729475</v>
      </c>
      <c r="AF21" s="9">
        <f t="shared" si="8"/>
        <v>242030</v>
      </c>
      <c r="AG21" s="9">
        <f t="shared" si="8"/>
        <v>335845</v>
      </c>
      <c r="AH21" s="9">
        <f t="shared" ref="AH21:BM21" si="9">AH22-AH20-AH19-AH18</f>
        <v>1561291</v>
      </c>
      <c r="AI21" s="9">
        <f t="shared" si="9"/>
        <v>1607539</v>
      </c>
      <c r="AJ21" s="9">
        <f t="shared" si="9"/>
        <v>696981</v>
      </c>
      <c r="AK21" s="9">
        <f t="shared" si="9"/>
        <v>1784156</v>
      </c>
      <c r="AL21" s="9">
        <f t="shared" si="9"/>
        <v>3807758</v>
      </c>
      <c r="AM21" s="9">
        <f t="shared" si="9"/>
        <v>4395450</v>
      </c>
      <c r="AN21" s="9">
        <f t="shared" si="9"/>
        <v>522</v>
      </c>
      <c r="AO21" s="9">
        <f t="shared" si="9"/>
        <v>3571</v>
      </c>
      <c r="AP21" s="9">
        <f t="shared" si="9"/>
        <v>88711</v>
      </c>
      <c r="AQ21" s="9">
        <f t="shared" si="9"/>
        <v>462963</v>
      </c>
      <c r="AR21" s="9">
        <f t="shared" si="9"/>
        <v>1966063</v>
      </c>
      <c r="AS21" s="9">
        <f t="shared" si="9"/>
        <v>3560200</v>
      </c>
      <c r="AT21" s="9">
        <f t="shared" si="9"/>
        <v>2419177</v>
      </c>
      <c r="AU21" s="9">
        <f t="shared" si="9"/>
        <v>2473702</v>
      </c>
      <c r="AV21" s="9">
        <f t="shared" si="9"/>
        <v>40358</v>
      </c>
      <c r="AW21" s="9">
        <f t="shared" si="9"/>
        <v>257567</v>
      </c>
      <c r="AX21" s="9">
        <f t="shared" si="9"/>
        <v>57352</v>
      </c>
      <c r="AY21" s="9">
        <f t="shared" si="9"/>
        <v>104038</v>
      </c>
      <c r="AZ21" s="9">
        <f t="shared" si="9"/>
        <v>140054</v>
      </c>
      <c r="BA21" s="9">
        <f t="shared" si="9"/>
        <v>178689</v>
      </c>
      <c r="BB21" s="9">
        <f t="shared" si="9"/>
        <v>748301</v>
      </c>
      <c r="BC21" s="9">
        <f t="shared" si="9"/>
        <v>1038199</v>
      </c>
      <c r="BD21" s="9">
        <f t="shared" si="9"/>
        <v>170350</v>
      </c>
      <c r="BE21" s="9">
        <f t="shared" si="9"/>
        <v>529433</v>
      </c>
      <c r="BF21" s="9">
        <f t="shared" si="9"/>
        <v>2136656</v>
      </c>
      <c r="BG21" s="9">
        <f t="shared" si="9"/>
        <v>5377318</v>
      </c>
      <c r="BH21" s="9">
        <f t="shared" si="9"/>
        <v>2766350</v>
      </c>
      <c r="BI21" s="9">
        <f t="shared" si="9"/>
        <v>3459712</v>
      </c>
      <c r="BJ21" s="9">
        <f t="shared" si="9"/>
        <v>1634204</v>
      </c>
      <c r="BK21" s="9">
        <f t="shared" si="9"/>
        <v>2288890</v>
      </c>
      <c r="BL21" s="9">
        <f t="shared" si="9"/>
        <v>55200</v>
      </c>
      <c r="BM21" s="9">
        <f t="shared" si="9"/>
        <v>107555</v>
      </c>
      <c r="BN21" s="72">
        <f t="shared" si="6"/>
        <v>33568903.649999999</v>
      </c>
      <c r="BO21" s="72">
        <f t="shared" si="7"/>
        <v>48641642.340000004</v>
      </c>
    </row>
    <row r="22" spans="1:67" s="7" customFormat="1" x14ac:dyDescent="0.25">
      <c r="A22" s="3" t="s">
        <v>30</v>
      </c>
      <c r="B22" s="10">
        <v>1393</v>
      </c>
      <c r="C22" s="10">
        <v>5546</v>
      </c>
      <c r="D22" s="10">
        <v>30164</v>
      </c>
      <c r="E22" s="10">
        <v>83480</v>
      </c>
      <c r="F22" s="10">
        <v>185601</v>
      </c>
      <c r="G22" s="10">
        <v>2260604</v>
      </c>
      <c r="H22" s="10">
        <v>411050</v>
      </c>
      <c r="I22" s="10">
        <v>399234</v>
      </c>
      <c r="J22" s="10">
        <v>3179789</v>
      </c>
      <c r="K22" s="10">
        <v>3728837</v>
      </c>
      <c r="L22" s="10">
        <v>660894</v>
      </c>
      <c r="M22" s="10">
        <v>2890470</v>
      </c>
      <c r="N22" s="10">
        <v>29524.07</v>
      </c>
      <c r="O22" s="10">
        <v>120158.77</v>
      </c>
      <c r="P22" s="10">
        <v>1901</v>
      </c>
      <c r="Q22" s="10">
        <v>-71111</v>
      </c>
      <c r="R22" s="10">
        <v>1824526</v>
      </c>
      <c r="S22" s="10">
        <v>1964869</v>
      </c>
      <c r="T22" s="10">
        <v>27542</v>
      </c>
      <c r="U22" s="10">
        <v>42149</v>
      </c>
      <c r="V22" s="10">
        <v>390554</v>
      </c>
      <c r="W22" s="10">
        <v>1251236</v>
      </c>
      <c r="X22" s="10">
        <v>4706115</v>
      </c>
      <c r="Y22" s="10">
        <v>5185019</v>
      </c>
      <c r="Z22" s="10">
        <v>1116273</v>
      </c>
      <c r="AA22" s="10">
        <v>1355352</v>
      </c>
      <c r="AB22" s="10">
        <v>8363</v>
      </c>
      <c r="AC22" s="10">
        <v>13525</v>
      </c>
      <c r="AD22" s="10">
        <v>1595972</v>
      </c>
      <c r="AE22" s="10">
        <v>1648390</v>
      </c>
      <c r="AF22" s="10">
        <v>31127</v>
      </c>
      <c r="AG22" s="10">
        <v>312466</v>
      </c>
      <c r="AH22" s="10">
        <v>1561750</v>
      </c>
      <c r="AI22" s="10">
        <v>1420846</v>
      </c>
      <c r="AJ22" s="10">
        <v>798303</v>
      </c>
      <c r="AK22" s="10">
        <v>2042381</v>
      </c>
      <c r="AL22" s="10">
        <v>5106927</v>
      </c>
      <c r="AM22" s="10">
        <v>7594619</v>
      </c>
      <c r="AN22" s="10">
        <v>4270</v>
      </c>
      <c r="AO22" s="10">
        <v>31098</v>
      </c>
      <c r="AP22" s="10">
        <v>88711</v>
      </c>
      <c r="AQ22" s="10">
        <v>462963</v>
      </c>
      <c r="AR22" s="10">
        <v>2065021</v>
      </c>
      <c r="AS22" s="10">
        <v>4048906</v>
      </c>
      <c r="AT22" s="10">
        <v>2419177</v>
      </c>
      <c r="AU22" s="10">
        <v>2473702</v>
      </c>
      <c r="AV22" s="10">
        <v>95160</v>
      </c>
      <c r="AW22" s="10">
        <v>456412</v>
      </c>
      <c r="AX22" s="10">
        <v>31276</v>
      </c>
      <c r="AY22" s="10">
        <v>61715</v>
      </c>
      <c r="AZ22" s="10">
        <v>140059</v>
      </c>
      <c r="BA22" s="10">
        <v>178706</v>
      </c>
      <c r="BB22" s="10">
        <v>1091804</v>
      </c>
      <c r="BC22" s="10">
        <v>1381731</v>
      </c>
      <c r="BD22" s="10">
        <v>222031</v>
      </c>
      <c r="BE22" s="10">
        <v>588655</v>
      </c>
      <c r="BF22" s="10">
        <v>2272816</v>
      </c>
      <c r="BG22" s="10">
        <v>6663513</v>
      </c>
      <c r="BH22" s="10">
        <v>2989752</v>
      </c>
      <c r="BI22" s="10">
        <v>3713430</v>
      </c>
      <c r="BJ22" s="10">
        <v>1995828</v>
      </c>
      <c r="BK22" s="10">
        <v>2820538</v>
      </c>
      <c r="BL22" s="10">
        <v>55200</v>
      </c>
      <c r="BM22" s="10">
        <v>107555</v>
      </c>
      <c r="BN22" s="68">
        <f t="shared" si="6"/>
        <v>35138873.07</v>
      </c>
      <c r="BO22" s="68">
        <f t="shared" si="7"/>
        <v>55236994.769999996</v>
      </c>
    </row>
    <row r="23" spans="1:67" s="7" customFormat="1" x14ac:dyDescent="0.25">
      <c r="A23" s="3" t="s">
        <v>268</v>
      </c>
      <c r="B23" s="10">
        <f>B16-B22</f>
        <v>-316539</v>
      </c>
      <c r="C23" s="10">
        <f t="shared" ref="C23:AH23" si="10">C16-C22</f>
        <v>-1325525</v>
      </c>
      <c r="D23" s="10">
        <f t="shared" si="10"/>
        <v>-228560</v>
      </c>
      <c r="E23" s="10">
        <f t="shared" si="10"/>
        <v>-1976607</v>
      </c>
      <c r="F23" s="10">
        <f t="shared" si="10"/>
        <v>2327006</v>
      </c>
      <c r="G23" s="10">
        <f t="shared" si="10"/>
        <v>7468088</v>
      </c>
      <c r="H23" s="10">
        <f t="shared" si="10"/>
        <v>3588343</v>
      </c>
      <c r="I23" s="10">
        <f t="shared" si="10"/>
        <v>17693025</v>
      </c>
      <c r="J23" s="10">
        <f t="shared" si="10"/>
        <v>270499</v>
      </c>
      <c r="K23" s="10">
        <f t="shared" si="10"/>
        <v>1202870</v>
      </c>
      <c r="L23" s="10">
        <f t="shared" si="10"/>
        <v>609758</v>
      </c>
      <c r="M23" s="10">
        <f t="shared" si="10"/>
        <v>3747837</v>
      </c>
      <c r="N23" s="10">
        <f t="shared" si="10"/>
        <v>1146019.26</v>
      </c>
      <c r="O23" s="10">
        <f t="shared" si="10"/>
        <v>5880970.4200000009</v>
      </c>
      <c r="P23" s="10">
        <f t="shared" si="10"/>
        <v>-300427</v>
      </c>
      <c r="Q23" s="10">
        <f t="shared" si="10"/>
        <v>-966196</v>
      </c>
      <c r="R23" s="10">
        <f t="shared" si="10"/>
        <v>316791</v>
      </c>
      <c r="S23" s="10">
        <f t="shared" si="10"/>
        <v>1807038</v>
      </c>
      <c r="T23" s="10">
        <f t="shared" si="10"/>
        <v>-1279049</v>
      </c>
      <c r="U23" s="10">
        <f t="shared" si="10"/>
        <v>-1227592</v>
      </c>
      <c r="V23" s="10">
        <f t="shared" si="10"/>
        <v>1068285</v>
      </c>
      <c r="W23" s="10">
        <f t="shared" si="10"/>
        <v>7917692</v>
      </c>
      <c r="X23" s="10">
        <f t="shared" si="10"/>
        <v>4501153</v>
      </c>
      <c r="Y23" s="10">
        <f t="shared" si="10"/>
        <v>19539535</v>
      </c>
      <c r="Z23" s="10">
        <f t="shared" si="10"/>
        <v>-419449</v>
      </c>
      <c r="AA23" s="10">
        <f t="shared" si="10"/>
        <v>4110266</v>
      </c>
      <c r="AB23" s="10">
        <f t="shared" si="10"/>
        <v>-149244</v>
      </c>
      <c r="AC23" s="10">
        <f t="shared" si="10"/>
        <v>16307</v>
      </c>
      <c r="AD23" s="10">
        <f t="shared" si="10"/>
        <v>78577</v>
      </c>
      <c r="AE23" s="10">
        <f t="shared" si="10"/>
        <v>504614</v>
      </c>
      <c r="AF23" s="10">
        <f t="shared" si="10"/>
        <v>-42511</v>
      </c>
      <c r="AG23" s="10">
        <f t="shared" si="10"/>
        <v>256521</v>
      </c>
      <c r="AH23" s="10">
        <f t="shared" si="10"/>
        <v>-341439</v>
      </c>
      <c r="AI23" s="10">
        <f t="shared" ref="AI23:BM23" si="11">AI16-AI22</f>
        <v>-1174090</v>
      </c>
      <c r="AJ23" s="10">
        <f t="shared" si="11"/>
        <v>-18890</v>
      </c>
      <c r="AK23" s="10">
        <f t="shared" si="11"/>
        <v>-497389</v>
      </c>
      <c r="AL23" s="10">
        <f t="shared" si="11"/>
        <v>-7024818</v>
      </c>
      <c r="AM23" s="10">
        <f t="shared" si="11"/>
        <v>-5629966</v>
      </c>
      <c r="AN23" s="10">
        <f t="shared" si="11"/>
        <v>-7075</v>
      </c>
      <c r="AO23" s="10">
        <f t="shared" si="11"/>
        <v>-1167091</v>
      </c>
      <c r="AP23" s="10">
        <f t="shared" si="11"/>
        <v>-271786</v>
      </c>
      <c r="AQ23" s="10">
        <f t="shared" si="11"/>
        <v>-843254</v>
      </c>
      <c r="AR23" s="10">
        <f t="shared" si="11"/>
        <v>355749</v>
      </c>
      <c r="AS23" s="10">
        <f t="shared" si="11"/>
        <v>3225439</v>
      </c>
      <c r="AT23" s="10">
        <f t="shared" si="11"/>
        <v>447020</v>
      </c>
      <c r="AU23" s="10">
        <f t="shared" si="11"/>
        <v>754851</v>
      </c>
      <c r="AV23" s="10">
        <f t="shared" si="11"/>
        <v>-142584</v>
      </c>
      <c r="AW23" s="10">
        <f t="shared" si="11"/>
        <v>2112030</v>
      </c>
      <c r="AX23" s="10">
        <f t="shared" si="11"/>
        <v>1776857</v>
      </c>
      <c r="AY23" s="10">
        <f t="shared" si="11"/>
        <v>7179209</v>
      </c>
      <c r="AZ23" s="10">
        <f t="shared" si="11"/>
        <v>2147053</v>
      </c>
      <c r="BA23" s="10">
        <f t="shared" si="11"/>
        <v>7700432</v>
      </c>
      <c r="BB23" s="10">
        <f t="shared" si="11"/>
        <v>-12783780</v>
      </c>
      <c r="BC23" s="10">
        <f t="shared" si="11"/>
        <v>-14458055</v>
      </c>
      <c r="BD23" s="10">
        <f t="shared" si="11"/>
        <v>897696</v>
      </c>
      <c r="BE23" s="10">
        <f t="shared" si="11"/>
        <v>5897869</v>
      </c>
      <c r="BF23" s="10">
        <f t="shared" si="11"/>
        <v>3349604</v>
      </c>
      <c r="BG23" s="10">
        <f t="shared" si="11"/>
        <v>20367168</v>
      </c>
      <c r="BH23" s="10">
        <f t="shared" si="11"/>
        <v>-7543909</v>
      </c>
      <c r="BI23" s="10">
        <f t="shared" si="11"/>
        <v>-15120560</v>
      </c>
      <c r="BJ23" s="10">
        <f t="shared" si="11"/>
        <v>-5325489</v>
      </c>
      <c r="BK23" s="10">
        <f t="shared" si="11"/>
        <v>-9846845</v>
      </c>
      <c r="BL23" s="10">
        <f t="shared" si="11"/>
        <v>-1275301</v>
      </c>
      <c r="BM23" s="10">
        <f t="shared" si="11"/>
        <v>307253</v>
      </c>
      <c r="BN23" s="68">
        <f t="shared" si="6"/>
        <v>-14590439.74</v>
      </c>
      <c r="BO23" s="68">
        <f t="shared" si="7"/>
        <v>63455844.420000002</v>
      </c>
    </row>
    <row r="24" spans="1:67" x14ac:dyDescent="0.25">
      <c r="A24" s="2" t="s">
        <v>270</v>
      </c>
      <c r="B24" s="9"/>
      <c r="C24" s="9"/>
      <c r="D24" s="9"/>
      <c r="E24" s="9"/>
      <c r="F24" s="103">
        <v>1272126</v>
      </c>
      <c r="G24" s="103">
        <v>2566136</v>
      </c>
      <c r="H24" s="84">
        <v>859414</v>
      </c>
      <c r="I24" s="84">
        <v>4392141</v>
      </c>
      <c r="J24" s="9"/>
      <c r="K24" s="9"/>
      <c r="L24" s="84">
        <v>161727</v>
      </c>
      <c r="M24" s="84">
        <v>931118</v>
      </c>
      <c r="N24" s="84">
        <f>-29589.55+310000+25885.03</f>
        <v>306295.48</v>
      </c>
      <c r="O24" s="9">
        <f>-29589.55+1270000+54488.94-16977.93</f>
        <v>1277921.46</v>
      </c>
      <c r="P24" s="9"/>
      <c r="Q24" s="9"/>
      <c r="R24" s="9">
        <f>221778-148250</f>
        <v>73528</v>
      </c>
      <c r="S24" s="9">
        <f>625154-160542</f>
        <v>464612</v>
      </c>
      <c r="T24" s="9"/>
      <c r="U24" s="9"/>
      <c r="V24" s="84">
        <f>315093-62147</f>
        <v>252946</v>
      </c>
      <c r="W24" s="84">
        <f>2011440-10258</f>
        <v>2001182</v>
      </c>
      <c r="X24" s="9">
        <f>-93939+1138264</f>
        <v>1044325</v>
      </c>
      <c r="Y24" s="9">
        <f>5244477-435490</f>
        <v>4808987</v>
      </c>
      <c r="Z24" s="9">
        <f>-372000+255400+10903-443</f>
        <v>-106140</v>
      </c>
      <c r="AA24" s="9">
        <f>740000+165300+10903-443</f>
        <v>915760</v>
      </c>
      <c r="AB24" s="9"/>
      <c r="AC24" s="9"/>
      <c r="AD24" s="9"/>
      <c r="AE24" s="9"/>
      <c r="AF24" s="9">
        <f>-14446+711</f>
        <v>-13735</v>
      </c>
      <c r="AG24" s="9">
        <f>54210+8283</f>
        <v>62493</v>
      </c>
      <c r="AH24" s="9"/>
      <c r="AI24" s="9"/>
      <c r="AJ24" s="9"/>
      <c r="AK24" s="9"/>
      <c r="AL24" s="84">
        <v>-11350</v>
      </c>
      <c r="AM24" s="84">
        <v>-11393</v>
      </c>
      <c r="AN24" s="9"/>
      <c r="AO24" s="9"/>
      <c r="AP24" s="9">
        <f>-3883+1900</f>
        <v>-1983</v>
      </c>
      <c r="AQ24" s="9">
        <f>-3883-1293</f>
        <v>-5176</v>
      </c>
      <c r="AR24" s="9">
        <f>11248+24234</f>
        <v>35482</v>
      </c>
      <c r="AS24" s="9">
        <f>446825+149810+547620</f>
        <v>1144255</v>
      </c>
      <c r="AT24" s="9">
        <f>154161-421600</f>
        <v>-267439</v>
      </c>
      <c r="AU24" s="84">
        <f>154161-421600</f>
        <v>-267439</v>
      </c>
      <c r="AV24" s="84">
        <v>34992</v>
      </c>
      <c r="AW24" s="84">
        <v>-529236</v>
      </c>
      <c r="AX24" s="9">
        <f>381205+29481-35516</f>
        <v>375170</v>
      </c>
      <c r="AY24" s="9">
        <f>1780385-1581-35516</f>
        <v>1743288</v>
      </c>
      <c r="AZ24" s="84">
        <v>529944</v>
      </c>
      <c r="BA24" s="84">
        <v>1776326</v>
      </c>
      <c r="BB24" s="9">
        <f>624009-3777362-61255</f>
        <v>-3214608</v>
      </c>
      <c r="BC24" s="9">
        <f>624009-4143129-81798</f>
        <v>-3600918</v>
      </c>
      <c r="BD24" s="9">
        <f>85848+99590</f>
        <v>185438</v>
      </c>
      <c r="BE24" s="9">
        <f>2092763-672886</f>
        <v>1419877</v>
      </c>
      <c r="BF24" s="9">
        <f>573421+362181</f>
        <v>935602</v>
      </c>
      <c r="BG24" s="9">
        <f>4450576-130316</f>
        <v>4320260</v>
      </c>
      <c r="BH24" s="9">
        <f>88271+45596</f>
        <v>133867</v>
      </c>
      <c r="BI24" s="103">
        <f>88271+45596</f>
        <v>133867</v>
      </c>
      <c r="BJ24" s="9"/>
      <c r="BK24" s="9"/>
      <c r="BL24" s="9">
        <f>-298255-1508</f>
        <v>-299763</v>
      </c>
      <c r="BM24" s="9">
        <f>212973+666</f>
        <v>213639</v>
      </c>
      <c r="BN24" s="72">
        <f>B24+D24+F24+H24+J24+L24+N24+P24+R24+T24+V24+X24+Z24+AB24+AD24+AF24+AH24+AJ24+AL24+AN24+AP24+AR24+AT24+AV24+AX24+AZ24+BB24+BD24+BF24+BH24+BJ24+BL24</f>
        <v>2285838.4800000004</v>
      </c>
      <c r="BO24" s="72">
        <f>C24+E24+G24+I24+K24+M24+O24+Q24+S24+U24+W24+Y24+AA24+AC24+AE24+AG24+AI24+AK24+AM24+AO24+AQ24+AS24+AU24+AW24+AY24+BA24+BC24+BE24+BG24+BI24+BK24+BM24</f>
        <v>23757700.460000001</v>
      </c>
    </row>
    <row r="25" spans="1:67" s="7" customFormat="1" x14ac:dyDescent="0.25">
      <c r="A25" s="3" t="s">
        <v>269</v>
      </c>
      <c r="B25" s="10">
        <f>B23-B24</f>
        <v>-316539</v>
      </c>
      <c r="C25" s="10">
        <f t="shared" ref="C25:AH25" si="12">C23-C24</f>
        <v>-1325525</v>
      </c>
      <c r="D25" s="10">
        <f t="shared" si="12"/>
        <v>-228560</v>
      </c>
      <c r="E25" s="10">
        <f t="shared" si="12"/>
        <v>-1976607</v>
      </c>
      <c r="F25" s="10">
        <f t="shared" si="12"/>
        <v>1054880</v>
      </c>
      <c r="G25" s="10">
        <f t="shared" si="12"/>
        <v>4901952</v>
      </c>
      <c r="H25" s="10">
        <f t="shared" si="12"/>
        <v>2728929</v>
      </c>
      <c r="I25" s="10">
        <f t="shared" si="12"/>
        <v>13300884</v>
      </c>
      <c r="J25" s="10">
        <f t="shared" si="12"/>
        <v>270499</v>
      </c>
      <c r="K25" s="10">
        <f t="shared" si="12"/>
        <v>1202870</v>
      </c>
      <c r="L25" s="10">
        <f t="shared" si="12"/>
        <v>448031</v>
      </c>
      <c r="M25" s="10">
        <f t="shared" si="12"/>
        <v>2816719</v>
      </c>
      <c r="N25" s="10">
        <f t="shared" si="12"/>
        <v>839723.78</v>
      </c>
      <c r="O25" s="10">
        <f t="shared" si="12"/>
        <v>4603048.9600000009</v>
      </c>
      <c r="P25" s="10">
        <f t="shared" si="12"/>
        <v>-300427</v>
      </c>
      <c r="Q25" s="10">
        <f t="shared" si="12"/>
        <v>-966196</v>
      </c>
      <c r="R25" s="10">
        <f t="shared" si="12"/>
        <v>243263</v>
      </c>
      <c r="S25" s="10">
        <f t="shared" si="12"/>
        <v>1342426</v>
      </c>
      <c r="T25" s="10">
        <f t="shared" si="12"/>
        <v>-1279049</v>
      </c>
      <c r="U25" s="10">
        <f t="shared" si="12"/>
        <v>-1227592</v>
      </c>
      <c r="V25" s="10">
        <f t="shared" si="12"/>
        <v>815339</v>
      </c>
      <c r="W25" s="10">
        <f t="shared" si="12"/>
        <v>5916510</v>
      </c>
      <c r="X25" s="10">
        <f t="shared" si="12"/>
        <v>3456828</v>
      </c>
      <c r="Y25" s="10">
        <f t="shared" si="12"/>
        <v>14730548</v>
      </c>
      <c r="Z25" s="10">
        <f t="shared" si="12"/>
        <v>-313309</v>
      </c>
      <c r="AA25" s="10">
        <f t="shared" si="12"/>
        <v>3194506</v>
      </c>
      <c r="AB25" s="10">
        <f t="shared" si="12"/>
        <v>-149244</v>
      </c>
      <c r="AC25" s="10">
        <f t="shared" si="12"/>
        <v>16307</v>
      </c>
      <c r="AD25" s="10">
        <f t="shared" si="12"/>
        <v>78577</v>
      </c>
      <c r="AE25" s="10">
        <f t="shared" si="12"/>
        <v>504614</v>
      </c>
      <c r="AF25" s="10">
        <f t="shared" si="12"/>
        <v>-28776</v>
      </c>
      <c r="AG25" s="10">
        <f t="shared" si="12"/>
        <v>194028</v>
      </c>
      <c r="AH25" s="10">
        <f t="shared" si="12"/>
        <v>-341439</v>
      </c>
      <c r="AI25" s="10">
        <f t="shared" ref="AI25:BM25" si="13">AI23-AI24</f>
        <v>-1174090</v>
      </c>
      <c r="AJ25" s="10">
        <f t="shared" si="13"/>
        <v>-18890</v>
      </c>
      <c r="AK25" s="10">
        <f t="shared" si="13"/>
        <v>-497389</v>
      </c>
      <c r="AL25" s="10">
        <f t="shared" si="13"/>
        <v>-7013468</v>
      </c>
      <c r="AM25" s="10">
        <f t="shared" si="13"/>
        <v>-5618573</v>
      </c>
      <c r="AN25" s="10">
        <f t="shared" si="13"/>
        <v>-7075</v>
      </c>
      <c r="AO25" s="10">
        <f t="shared" si="13"/>
        <v>-1167091</v>
      </c>
      <c r="AP25" s="10">
        <f t="shared" si="13"/>
        <v>-269803</v>
      </c>
      <c r="AQ25" s="10">
        <f t="shared" si="13"/>
        <v>-838078</v>
      </c>
      <c r="AR25" s="10">
        <f t="shared" si="13"/>
        <v>320267</v>
      </c>
      <c r="AS25" s="10">
        <f t="shared" si="13"/>
        <v>2081184</v>
      </c>
      <c r="AT25" s="10">
        <f t="shared" si="13"/>
        <v>714459</v>
      </c>
      <c r="AU25" s="10">
        <f t="shared" si="13"/>
        <v>1022290</v>
      </c>
      <c r="AV25" s="10">
        <f t="shared" si="13"/>
        <v>-177576</v>
      </c>
      <c r="AW25" s="10">
        <f t="shared" si="13"/>
        <v>2641266</v>
      </c>
      <c r="AX25" s="10">
        <f t="shared" si="13"/>
        <v>1401687</v>
      </c>
      <c r="AY25" s="10">
        <f t="shared" si="13"/>
        <v>5435921</v>
      </c>
      <c r="AZ25" s="10">
        <f t="shared" si="13"/>
        <v>1617109</v>
      </c>
      <c r="BA25" s="10">
        <f t="shared" si="13"/>
        <v>5924106</v>
      </c>
      <c r="BB25" s="10">
        <f t="shared" si="13"/>
        <v>-9569172</v>
      </c>
      <c r="BC25" s="10">
        <f t="shared" si="13"/>
        <v>-10857137</v>
      </c>
      <c r="BD25" s="10">
        <f t="shared" si="13"/>
        <v>712258</v>
      </c>
      <c r="BE25" s="10">
        <f t="shared" si="13"/>
        <v>4477992</v>
      </c>
      <c r="BF25" s="10">
        <f t="shared" si="13"/>
        <v>2414002</v>
      </c>
      <c r="BG25" s="10">
        <f t="shared" si="13"/>
        <v>16046908</v>
      </c>
      <c r="BH25" s="10">
        <f t="shared" si="13"/>
        <v>-7677776</v>
      </c>
      <c r="BI25" s="10">
        <f t="shared" si="13"/>
        <v>-15254427</v>
      </c>
      <c r="BJ25" s="10">
        <f t="shared" si="13"/>
        <v>-5325489</v>
      </c>
      <c r="BK25" s="10">
        <f t="shared" si="13"/>
        <v>-9846845</v>
      </c>
      <c r="BL25" s="10">
        <f t="shared" si="13"/>
        <v>-975538</v>
      </c>
      <c r="BM25" s="10">
        <f t="shared" si="13"/>
        <v>93614</v>
      </c>
      <c r="BN25" s="68">
        <f>B25+D25+F25+H25+J25+L25+N25+P25+R25+T25+V25+X25+Z25+AB25+AD25+AF25+AH25+AJ25+AL25+AN25+AP25+AR25+AT25+AV25+AX25+AZ25+BB25+BD25+BF25+BH25+BJ25+BL25</f>
        <v>-16876278.219999999</v>
      </c>
      <c r="BO25" s="68">
        <f>C25+E25+G25+I25+K25+M25+O25+Q25+S25+U25+W25+Y25+AA25+AC25+AE25+AG25+AI25+AK25+AM25+AO25+AQ25+AS25+AU25+AW25+AY25+BA25+BC25+BE25+BG25+BI25+BK25+BM25</f>
        <v>39698143.960000001</v>
      </c>
    </row>
  </sheetData>
  <mergeCells count="33"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  <mergeCell ref="AL3:AM3"/>
    <mergeCell ref="AN3:AO3"/>
    <mergeCell ref="AP3:AQ3"/>
    <mergeCell ref="AR3:AS3"/>
    <mergeCell ref="BB3:BC3"/>
    <mergeCell ref="BD3:BE3"/>
    <mergeCell ref="BN3:BO3"/>
    <mergeCell ref="BH3:BI3"/>
    <mergeCell ref="BJ3:BK3"/>
    <mergeCell ref="BL3:BM3"/>
    <mergeCell ref="BF3:BG3"/>
    <mergeCell ref="AV3:AW3"/>
    <mergeCell ref="AX3:AY3"/>
    <mergeCell ref="AZ3:BA3"/>
    <mergeCell ref="AT3:AU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76" customWidth="1"/>
    <col min="2" max="33" width="16" style="76" customWidth="1"/>
    <col min="34" max="34" width="16" style="7" customWidth="1"/>
    <col min="35" max="16384" width="9.140625" style="76"/>
  </cols>
  <sheetData>
    <row r="1" spans="1:34" ht="18.75" x14ac:dyDescent="0.3">
      <c r="A1" s="12" t="s">
        <v>298</v>
      </c>
    </row>
    <row r="2" spans="1:34" x14ac:dyDescent="0.25">
      <c r="A2" s="13" t="s">
        <v>34</v>
      </c>
    </row>
    <row r="3" spans="1:34" x14ac:dyDescent="0.25">
      <c r="A3" s="1" t="s">
        <v>0</v>
      </c>
      <c r="B3" s="75" t="s">
        <v>1</v>
      </c>
      <c r="C3" s="75" t="s">
        <v>282</v>
      </c>
      <c r="D3" s="75" t="s">
        <v>2</v>
      </c>
      <c r="E3" s="75" t="s">
        <v>3</v>
      </c>
      <c r="F3" s="75" t="s">
        <v>4</v>
      </c>
      <c r="G3" s="75" t="s">
        <v>283</v>
      </c>
      <c r="H3" s="75" t="s">
        <v>6</v>
      </c>
      <c r="I3" s="75" t="s">
        <v>5</v>
      </c>
      <c r="J3" s="75" t="s">
        <v>7</v>
      </c>
      <c r="K3" s="75" t="s">
        <v>284</v>
      </c>
      <c r="L3" s="75" t="s">
        <v>8</v>
      </c>
      <c r="M3" s="75" t="s">
        <v>9</v>
      </c>
      <c r="N3" s="75" t="s">
        <v>10</v>
      </c>
      <c r="O3" s="75" t="s">
        <v>293</v>
      </c>
      <c r="P3" s="75" t="s">
        <v>11</v>
      </c>
      <c r="Q3" s="75" t="s">
        <v>12</v>
      </c>
      <c r="R3" s="75" t="s">
        <v>285</v>
      </c>
      <c r="S3" s="75" t="s">
        <v>290</v>
      </c>
      <c r="T3" s="75" t="s">
        <v>13</v>
      </c>
      <c r="U3" s="75" t="s">
        <v>286</v>
      </c>
      <c r="V3" s="75" t="s">
        <v>287</v>
      </c>
      <c r="W3" s="75" t="s">
        <v>291</v>
      </c>
      <c r="X3" s="75" t="s">
        <v>294</v>
      </c>
      <c r="Y3" s="75" t="s">
        <v>14</v>
      </c>
      <c r="Z3" s="75" t="s">
        <v>15</v>
      </c>
      <c r="AA3" s="75" t="s">
        <v>16</v>
      </c>
      <c r="AB3" s="75" t="s">
        <v>17</v>
      </c>
      <c r="AC3" s="75" t="s">
        <v>18</v>
      </c>
      <c r="AD3" s="87" t="s">
        <v>288</v>
      </c>
      <c r="AE3" s="87" t="s">
        <v>289</v>
      </c>
      <c r="AF3" s="87" t="s">
        <v>19</v>
      </c>
      <c r="AG3" s="75" t="s">
        <v>20</v>
      </c>
      <c r="AH3" s="86" t="s">
        <v>21</v>
      </c>
    </row>
    <row r="4" spans="1:34" x14ac:dyDescent="0.25">
      <c r="A4" s="3" t="s">
        <v>232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68"/>
    </row>
    <row r="5" spans="1:34" x14ac:dyDescent="0.25">
      <c r="A5" s="21" t="s">
        <v>233</v>
      </c>
      <c r="B5" s="84">
        <v>5960000</v>
      </c>
      <c r="C5" s="84">
        <v>3603943</v>
      </c>
      <c r="D5" s="84">
        <v>2000000</v>
      </c>
      <c r="E5" s="84">
        <v>1102273</v>
      </c>
      <c r="F5" s="84">
        <v>20559812</v>
      </c>
      <c r="G5" s="84">
        <v>2988057</v>
      </c>
      <c r="H5" s="84">
        <v>31900000</v>
      </c>
      <c r="I5" s="84">
        <v>3930000</v>
      </c>
      <c r="J5" s="84">
        <v>9048037</v>
      </c>
      <c r="K5" s="84">
        <v>8246919</v>
      </c>
      <c r="L5" s="84">
        <v>7115649</v>
      </c>
      <c r="M5" s="84">
        <v>4545945</v>
      </c>
      <c r="N5" s="84">
        <v>2742183</v>
      </c>
      <c r="O5" s="84">
        <v>3300000</v>
      </c>
      <c r="P5" s="84">
        <v>10862252</v>
      </c>
      <c r="Q5" s="84">
        <v>1547073</v>
      </c>
      <c r="R5" s="84">
        <v>9419022</v>
      </c>
      <c r="S5" s="84">
        <v>13497298</v>
      </c>
      <c r="T5" s="84">
        <v>56750000</v>
      </c>
      <c r="U5" s="84">
        <v>4957900</v>
      </c>
      <c r="V5" s="84">
        <v>2647288</v>
      </c>
      <c r="W5" s="84">
        <v>2515499</v>
      </c>
      <c r="X5" s="84">
        <v>8410422</v>
      </c>
      <c r="Y5" s="84">
        <v>4490000</v>
      </c>
      <c r="Z5" s="84">
        <v>2155000</v>
      </c>
      <c r="AA5" s="84">
        <v>2591628</v>
      </c>
      <c r="AB5" s="84">
        <v>5480869</v>
      </c>
      <c r="AC5" s="84">
        <v>9944560</v>
      </c>
      <c r="AD5" s="84">
        <v>8240000</v>
      </c>
      <c r="AE5" s="84">
        <v>34200000</v>
      </c>
      <c r="AF5" s="84">
        <v>38050000</v>
      </c>
      <c r="AG5" s="84">
        <v>3681818</v>
      </c>
      <c r="AH5" s="69">
        <f t="shared" ref="AH5:AH10" si="0">SUM(B5:AG5)</f>
        <v>326483447</v>
      </c>
    </row>
    <row r="6" spans="1:34" x14ac:dyDescent="0.25">
      <c r="A6" s="21" t="s">
        <v>234</v>
      </c>
      <c r="B6" s="84"/>
      <c r="C6" s="84">
        <v>10206057</v>
      </c>
      <c r="D6" s="84">
        <v>44339935</v>
      </c>
      <c r="E6" s="84">
        <v>70227083</v>
      </c>
      <c r="F6" s="84">
        <v>1719685</v>
      </c>
      <c r="G6" s="84">
        <v>15857598</v>
      </c>
      <c r="H6" s="84">
        <v>31752229.27</v>
      </c>
      <c r="I6" s="84"/>
      <c r="J6" s="84">
        <v>2127058</v>
      </c>
      <c r="K6" s="84">
        <v>9731369</v>
      </c>
      <c r="L6" s="84">
        <v>25155927</v>
      </c>
      <c r="M6" s="84">
        <v>69805520</v>
      </c>
      <c r="N6" s="84">
        <v>25034866</v>
      </c>
      <c r="O6" s="84"/>
      <c r="P6" s="84">
        <v>7481249</v>
      </c>
      <c r="Q6" s="84">
        <v>2796224</v>
      </c>
      <c r="R6" s="84">
        <v>3298637</v>
      </c>
      <c r="S6" s="84">
        <v>567872</v>
      </c>
      <c r="T6" s="84">
        <v>156456</v>
      </c>
      <c r="U6" s="84"/>
      <c r="V6" s="84">
        <v>923661</v>
      </c>
      <c r="W6" s="84">
        <v>18027420</v>
      </c>
      <c r="X6" s="84">
        <v>2911469</v>
      </c>
      <c r="Y6" s="84">
        <v>8795545</v>
      </c>
      <c r="Z6" s="84">
        <v>25206304</v>
      </c>
      <c r="AA6" s="84">
        <v>18938464</v>
      </c>
      <c r="AB6" s="84">
        <v>36757852</v>
      </c>
      <c r="AC6" s="84">
        <v>19899399</v>
      </c>
      <c r="AD6" s="84">
        <v>181923274</v>
      </c>
      <c r="AE6" s="84">
        <v>-3865233</v>
      </c>
      <c r="AF6" s="84">
        <v>3249881</v>
      </c>
      <c r="AG6" s="84">
        <v>6467687</v>
      </c>
      <c r="AH6" s="69">
        <f t="shared" si="0"/>
        <v>639493488.26999998</v>
      </c>
    </row>
    <row r="7" spans="1:34" x14ac:dyDescent="0.25">
      <c r="A7" s="21" t="s">
        <v>235</v>
      </c>
      <c r="B7" s="84">
        <v>384</v>
      </c>
      <c r="C7" s="84">
        <v>3183</v>
      </c>
      <c r="D7" s="84">
        <v>-78132</v>
      </c>
      <c r="E7" s="84">
        <f>1166839+2748420</f>
        <v>3915259</v>
      </c>
      <c r="F7" s="84">
        <f>8430+43577</f>
        <v>52007</v>
      </c>
      <c r="G7" s="84">
        <f>28128+241088</f>
        <v>269216</v>
      </c>
      <c r="H7" s="84">
        <f>2760467+3659224.23</f>
        <v>6419691.2300000004</v>
      </c>
      <c r="I7" s="84">
        <f>29850-6910</f>
        <v>22940</v>
      </c>
      <c r="J7" s="84">
        <f>397+1624</f>
        <v>2021</v>
      </c>
      <c r="K7" s="84">
        <v>531266</v>
      </c>
      <c r="L7" s="84">
        <f>46834+217132</f>
        <v>263966</v>
      </c>
      <c r="M7" s="84">
        <f>1630484+5174631</f>
        <v>6805115</v>
      </c>
      <c r="N7" s="84">
        <f>-1436-5587</f>
        <v>-7023</v>
      </c>
      <c r="O7" s="84">
        <f>-57-219</f>
        <v>-276</v>
      </c>
      <c r="P7" s="84">
        <f>842+2387</f>
        <v>3229</v>
      </c>
      <c r="Q7" s="84">
        <f>956+129</f>
        <v>1085</v>
      </c>
      <c r="R7" s="84">
        <v>424</v>
      </c>
      <c r="S7" s="84">
        <f>65+1299</f>
        <v>1364</v>
      </c>
      <c r="T7" s="84">
        <f>17479385+407114</f>
        <v>17886499</v>
      </c>
      <c r="U7" s="84">
        <v>180</v>
      </c>
      <c r="V7" s="84">
        <f>848+404</f>
        <v>1252</v>
      </c>
      <c r="W7" s="84">
        <f>7490+36335</f>
        <v>43825</v>
      </c>
      <c r="X7" s="84">
        <f>2798-19836</f>
        <v>-17038</v>
      </c>
      <c r="Y7" s="84">
        <f>117099+637380</f>
        <v>754479</v>
      </c>
      <c r="Z7" s="84">
        <f>3481+790943</f>
        <v>794424</v>
      </c>
      <c r="AA7" s="84">
        <v>-95299</v>
      </c>
      <c r="AB7" s="84">
        <f>-31031-44897</f>
        <v>-75928</v>
      </c>
      <c r="AC7" s="84">
        <f>988129+3933622</f>
        <v>4921751</v>
      </c>
      <c r="AD7" s="84">
        <v>186647854</v>
      </c>
      <c r="AE7" s="84">
        <f>46413303+1278130</f>
        <v>47691433</v>
      </c>
      <c r="AF7" s="84">
        <f>3425675+23935948</f>
        <v>27361623</v>
      </c>
      <c r="AG7" s="84">
        <f>1635+25648</f>
        <v>27283</v>
      </c>
      <c r="AH7" s="69">
        <f t="shared" si="0"/>
        <v>304148057.23000002</v>
      </c>
    </row>
    <row r="8" spans="1:34" x14ac:dyDescent="0.25">
      <c r="A8" s="21" t="s">
        <v>236</v>
      </c>
      <c r="B8" s="84"/>
      <c r="C8" s="84"/>
      <c r="D8" s="84"/>
      <c r="E8" s="84"/>
      <c r="F8" s="84">
        <v>2550000</v>
      </c>
      <c r="G8" s="84">
        <v>1000000</v>
      </c>
      <c r="H8" s="84"/>
      <c r="I8" s="84"/>
      <c r="J8" s="84"/>
      <c r="K8" s="84"/>
      <c r="L8" s="84">
        <v>5040000</v>
      </c>
      <c r="M8" s="84">
        <v>4850000</v>
      </c>
      <c r="N8" s="84"/>
      <c r="O8" s="84"/>
      <c r="P8" s="84"/>
      <c r="Q8" s="84">
        <v>5488</v>
      </c>
      <c r="R8" s="84">
        <v>430000</v>
      </c>
      <c r="S8" s="84"/>
      <c r="T8" s="84">
        <v>8950000</v>
      </c>
      <c r="U8" s="84"/>
      <c r="V8" s="84"/>
      <c r="W8" s="84">
        <v>2300000</v>
      </c>
      <c r="X8" s="84"/>
      <c r="Y8" s="84">
        <v>1000000</v>
      </c>
      <c r="Z8" s="84"/>
      <c r="AA8" s="84"/>
      <c r="AB8" s="84">
        <v>2500000</v>
      </c>
      <c r="AC8" s="84">
        <v>3630000</v>
      </c>
      <c r="AD8" s="84"/>
      <c r="AE8" s="84">
        <v>7500000</v>
      </c>
      <c r="AF8" s="84">
        <v>9000000</v>
      </c>
      <c r="AG8" s="84"/>
      <c r="AH8" s="69">
        <f t="shared" si="0"/>
        <v>48755488</v>
      </c>
    </row>
    <row r="9" spans="1:34" x14ac:dyDescent="0.25">
      <c r="A9" s="21" t="s">
        <v>32</v>
      </c>
      <c r="B9" s="84">
        <f>B10-B8-B7-B6-B5</f>
        <v>0</v>
      </c>
      <c r="C9" s="84">
        <f t="shared" ref="C9:AG9" si="1">C10-C8-C7-C6-C5</f>
        <v>0</v>
      </c>
      <c r="D9" s="84">
        <f t="shared" si="1"/>
        <v>0</v>
      </c>
      <c r="E9" s="84">
        <f t="shared" si="1"/>
        <v>0</v>
      </c>
      <c r="F9" s="84">
        <f t="shared" si="1"/>
        <v>0</v>
      </c>
      <c r="G9" s="84">
        <f t="shared" si="1"/>
        <v>0</v>
      </c>
      <c r="H9" s="84">
        <f t="shared" si="1"/>
        <v>0</v>
      </c>
      <c r="I9" s="84">
        <f t="shared" si="1"/>
        <v>0</v>
      </c>
      <c r="J9" s="84">
        <f t="shared" si="1"/>
        <v>205128</v>
      </c>
      <c r="K9" s="84">
        <f t="shared" si="1"/>
        <v>238792</v>
      </c>
      <c r="L9" s="84">
        <f t="shared" si="1"/>
        <v>0</v>
      </c>
      <c r="M9" s="84">
        <f t="shared" si="1"/>
        <v>3261</v>
      </c>
      <c r="N9" s="84">
        <f t="shared" si="1"/>
        <v>0</v>
      </c>
      <c r="O9" s="84">
        <f t="shared" si="1"/>
        <v>0</v>
      </c>
      <c r="P9" s="84">
        <f t="shared" si="1"/>
        <v>0</v>
      </c>
      <c r="Q9" s="84">
        <f t="shared" si="1"/>
        <v>36922</v>
      </c>
      <c r="R9" s="84">
        <f t="shared" si="1"/>
        <v>0</v>
      </c>
      <c r="S9" s="84">
        <f t="shared" si="1"/>
        <v>0</v>
      </c>
      <c r="T9" s="84">
        <f t="shared" si="1"/>
        <v>1</v>
      </c>
      <c r="U9" s="84">
        <f t="shared" si="1"/>
        <v>0</v>
      </c>
      <c r="V9" s="84">
        <f t="shared" si="1"/>
        <v>0</v>
      </c>
      <c r="W9" s="84">
        <f t="shared" si="1"/>
        <v>-20600000</v>
      </c>
      <c r="X9" s="84">
        <f t="shared" si="1"/>
        <v>0</v>
      </c>
      <c r="Y9" s="84">
        <f t="shared" si="1"/>
        <v>0</v>
      </c>
      <c r="Z9" s="84">
        <f t="shared" si="1"/>
        <v>0</v>
      </c>
      <c r="AA9" s="84">
        <f t="shared" si="1"/>
        <v>0</v>
      </c>
      <c r="AB9" s="84">
        <f t="shared" si="1"/>
        <v>2929</v>
      </c>
      <c r="AC9" s="84">
        <f t="shared" si="1"/>
        <v>0</v>
      </c>
      <c r="AD9" s="84">
        <f t="shared" si="1"/>
        <v>0</v>
      </c>
      <c r="AE9" s="84">
        <f t="shared" si="1"/>
        <v>0</v>
      </c>
      <c r="AF9" s="84">
        <f t="shared" si="1"/>
        <v>0</v>
      </c>
      <c r="AG9" s="84">
        <f t="shared" si="1"/>
        <v>0</v>
      </c>
      <c r="AH9" s="69">
        <f t="shared" si="0"/>
        <v>-20112967</v>
      </c>
    </row>
    <row r="10" spans="1:34" s="7" customFormat="1" x14ac:dyDescent="0.25">
      <c r="A10" s="3" t="s">
        <v>42</v>
      </c>
      <c r="B10" s="10">
        <v>5960384</v>
      </c>
      <c r="C10" s="10">
        <v>13813183</v>
      </c>
      <c r="D10" s="10">
        <v>46261803</v>
      </c>
      <c r="E10" s="10">
        <v>75244615</v>
      </c>
      <c r="F10" s="10">
        <v>24881504</v>
      </c>
      <c r="G10" s="10">
        <v>20114871</v>
      </c>
      <c r="H10" s="10">
        <v>70071920.5</v>
      </c>
      <c r="I10" s="10">
        <v>3952940</v>
      </c>
      <c r="J10" s="10">
        <v>11382244</v>
      </c>
      <c r="K10" s="10">
        <v>18748346</v>
      </c>
      <c r="L10" s="10">
        <v>37575542</v>
      </c>
      <c r="M10" s="10">
        <v>86009841</v>
      </c>
      <c r="N10" s="10">
        <v>27770026</v>
      </c>
      <c r="O10" s="10">
        <v>3299724</v>
      </c>
      <c r="P10" s="10">
        <v>18346730</v>
      </c>
      <c r="Q10" s="10">
        <v>4386792</v>
      </c>
      <c r="R10" s="10">
        <v>13148083</v>
      </c>
      <c r="S10" s="10">
        <v>14066534</v>
      </c>
      <c r="T10" s="10">
        <v>83742956</v>
      </c>
      <c r="U10" s="10">
        <v>4958080</v>
      </c>
      <c r="V10" s="10">
        <v>3572201</v>
      </c>
      <c r="W10" s="10">
        <v>2286744</v>
      </c>
      <c r="X10" s="10">
        <v>11304853</v>
      </c>
      <c r="Y10" s="10">
        <v>15040024</v>
      </c>
      <c r="Z10" s="10">
        <v>28155728</v>
      </c>
      <c r="AA10" s="10">
        <v>21434793</v>
      </c>
      <c r="AB10" s="10">
        <v>44665722</v>
      </c>
      <c r="AC10" s="10">
        <v>38395710</v>
      </c>
      <c r="AD10" s="10">
        <v>376811128</v>
      </c>
      <c r="AE10" s="10">
        <v>85526200</v>
      </c>
      <c r="AF10" s="10">
        <v>77661504</v>
      </c>
      <c r="AG10" s="10">
        <v>10176788</v>
      </c>
      <c r="AH10" s="68">
        <f t="shared" si="0"/>
        <v>1298767513.5</v>
      </c>
    </row>
    <row r="11" spans="1:34" s="7" customFormat="1" x14ac:dyDescent="0.25">
      <c r="A11" s="3" t="s">
        <v>237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68"/>
    </row>
    <row r="12" spans="1:34" x14ac:dyDescent="0.25">
      <c r="A12" s="21" t="s">
        <v>238</v>
      </c>
      <c r="B12" s="84">
        <v>914538</v>
      </c>
      <c r="C12" s="84">
        <v>2940592</v>
      </c>
      <c r="D12" s="84"/>
      <c r="E12" s="84">
        <v>57858550</v>
      </c>
      <c r="F12" s="84">
        <v>8958366</v>
      </c>
      <c r="G12" s="84">
        <v>11614098</v>
      </c>
      <c r="H12" s="84">
        <v>53473007.859999999</v>
      </c>
      <c r="I12" s="84">
        <v>892830</v>
      </c>
      <c r="J12" s="84"/>
      <c r="K12" s="84">
        <v>13787947</v>
      </c>
      <c r="L12" s="84">
        <v>29528835</v>
      </c>
      <c r="M12" s="84">
        <v>74356807</v>
      </c>
      <c r="N12" s="84">
        <v>24700842</v>
      </c>
      <c r="O12" s="84">
        <v>1916813</v>
      </c>
      <c r="P12" s="84">
        <v>8142700</v>
      </c>
      <c r="Q12" s="84">
        <v>3560121</v>
      </c>
      <c r="R12" s="84">
        <v>2716039</v>
      </c>
      <c r="S12" s="84">
        <v>6373698</v>
      </c>
      <c r="T12" s="84">
        <v>6664350.5935773551</v>
      </c>
      <c r="U12" s="84">
        <v>2199296</v>
      </c>
      <c r="V12" s="84">
        <v>2240726</v>
      </c>
      <c r="W12" s="84">
        <v>22273614</v>
      </c>
      <c r="X12" s="84">
        <v>9098394</v>
      </c>
      <c r="Y12" s="84">
        <v>10064049</v>
      </c>
      <c r="Z12" s="84">
        <v>22180462</v>
      </c>
      <c r="AA12" s="84"/>
      <c r="AB12" s="84">
        <v>27941129</v>
      </c>
      <c r="AC12" s="84">
        <v>32478028</v>
      </c>
      <c r="AD12" s="84"/>
      <c r="AE12" s="84">
        <v>6427921</v>
      </c>
      <c r="AF12" s="84"/>
      <c r="AG12" s="84">
        <v>2129252</v>
      </c>
      <c r="AH12" s="69">
        <f t="shared" ref="AH12:AH17" si="2">SUM(B12:AG12)</f>
        <v>445433005.4535774</v>
      </c>
    </row>
    <row r="13" spans="1:34" x14ac:dyDescent="0.25">
      <c r="A13" s="21" t="s">
        <v>239</v>
      </c>
      <c r="B13" s="84">
        <v>3669434</v>
      </c>
      <c r="C13" s="84">
        <v>9439081</v>
      </c>
      <c r="D13" s="84"/>
      <c r="E13" s="84">
        <v>166915752</v>
      </c>
      <c r="F13" s="84">
        <v>46306075</v>
      </c>
      <c r="G13" s="84">
        <v>98990957</v>
      </c>
      <c r="H13" s="84">
        <v>70882824.319999993</v>
      </c>
      <c r="I13" s="84">
        <v>2710848</v>
      </c>
      <c r="J13" s="84"/>
      <c r="K13" s="84">
        <v>40514280</v>
      </c>
      <c r="L13" s="84">
        <v>136900703</v>
      </c>
      <c r="M13" s="84">
        <v>234565042</v>
      </c>
      <c r="N13" s="84">
        <v>96131828</v>
      </c>
      <c r="O13" s="84">
        <v>7401764</v>
      </c>
      <c r="P13" s="84">
        <v>23067277</v>
      </c>
      <c r="Q13" s="84">
        <v>26377542</v>
      </c>
      <c r="R13" s="84">
        <v>5305386</v>
      </c>
      <c r="S13" s="84">
        <v>9841907</v>
      </c>
      <c r="T13" s="84">
        <v>286132883</v>
      </c>
      <c r="U13" s="84">
        <v>3687500</v>
      </c>
      <c r="V13" s="84">
        <v>4707582</v>
      </c>
      <c r="W13" s="84">
        <v>108059889</v>
      </c>
      <c r="X13" s="84">
        <v>17251666</v>
      </c>
      <c r="Y13" s="84">
        <v>54779372</v>
      </c>
      <c r="Z13" s="84">
        <v>73599810</v>
      </c>
      <c r="AA13" s="84"/>
      <c r="AB13" s="84">
        <v>40425732</v>
      </c>
      <c r="AC13" s="84">
        <v>129291087</v>
      </c>
      <c r="AD13" s="84"/>
      <c r="AE13" s="84">
        <v>233419880</v>
      </c>
      <c r="AF13" s="84"/>
      <c r="AG13" s="84">
        <v>33407725</v>
      </c>
      <c r="AH13" s="69">
        <f t="shared" si="2"/>
        <v>1963783826.3199999</v>
      </c>
    </row>
    <row r="14" spans="1:34" s="35" customFormat="1" x14ac:dyDescent="0.25">
      <c r="A14" s="14" t="s">
        <v>240</v>
      </c>
      <c r="B14" s="34">
        <f t="shared" ref="B14:C14" si="3">B12+B13</f>
        <v>4583972</v>
      </c>
      <c r="C14" s="34">
        <f t="shared" si="3"/>
        <v>12379673</v>
      </c>
      <c r="D14" s="34">
        <v>136849920</v>
      </c>
      <c r="E14" s="34">
        <f>E12+E13</f>
        <v>224774302</v>
      </c>
      <c r="F14" s="34">
        <f t="shared" ref="F14:AG14" si="4">F12+F13</f>
        <v>55264441</v>
      </c>
      <c r="G14" s="34">
        <f t="shared" si="4"/>
        <v>110605055</v>
      </c>
      <c r="H14" s="34">
        <f t="shared" si="4"/>
        <v>124355832.17999999</v>
      </c>
      <c r="I14" s="34">
        <f t="shared" si="4"/>
        <v>3603678</v>
      </c>
      <c r="J14" s="34">
        <v>55050285</v>
      </c>
      <c r="K14" s="34">
        <f t="shared" si="4"/>
        <v>54302227</v>
      </c>
      <c r="L14" s="34">
        <f t="shared" si="4"/>
        <v>166429538</v>
      </c>
      <c r="M14" s="34">
        <f t="shared" si="4"/>
        <v>308921849</v>
      </c>
      <c r="N14" s="34">
        <f t="shared" si="4"/>
        <v>120832670</v>
      </c>
      <c r="O14" s="34">
        <f t="shared" si="4"/>
        <v>9318577</v>
      </c>
      <c r="P14" s="34">
        <f t="shared" si="4"/>
        <v>31209977</v>
      </c>
      <c r="Q14" s="34">
        <f t="shared" si="4"/>
        <v>29937663</v>
      </c>
      <c r="R14" s="34">
        <f t="shared" si="4"/>
        <v>8021425</v>
      </c>
      <c r="S14" s="34">
        <f t="shared" si="4"/>
        <v>16215605</v>
      </c>
      <c r="T14" s="34">
        <f t="shared" si="4"/>
        <v>292797233.59357738</v>
      </c>
      <c r="U14" s="34">
        <f t="shared" si="4"/>
        <v>5886796</v>
      </c>
      <c r="V14" s="34">
        <f t="shared" si="4"/>
        <v>6948308</v>
      </c>
      <c r="W14" s="34">
        <f t="shared" si="4"/>
        <v>130333503</v>
      </c>
      <c r="X14" s="34">
        <f t="shared" si="4"/>
        <v>26350060</v>
      </c>
      <c r="Y14" s="34">
        <f t="shared" si="4"/>
        <v>64843421</v>
      </c>
      <c r="Z14" s="34">
        <f t="shared" si="4"/>
        <v>95780272</v>
      </c>
      <c r="AA14" s="34">
        <v>105406971</v>
      </c>
      <c r="AB14" s="34">
        <f t="shared" si="4"/>
        <v>68366861</v>
      </c>
      <c r="AC14" s="34">
        <f t="shared" si="4"/>
        <v>161769115</v>
      </c>
      <c r="AD14" s="34">
        <v>663582230</v>
      </c>
      <c r="AE14" s="34">
        <f t="shared" si="4"/>
        <v>239847801</v>
      </c>
      <c r="AF14" s="34">
        <v>339320662</v>
      </c>
      <c r="AG14" s="34">
        <f t="shared" si="4"/>
        <v>35536977</v>
      </c>
      <c r="AH14" s="70">
        <f t="shared" si="2"/>
        <v>3709426899.7735772</v>
      </c>
    </row>
    <row r="15" spans="1:34" x14ac:dyDescent="0.25">
      <c r="A15" s="21" t="s">
        <v>241</v>
      </c>
      <c r="B15" s="84"/>
      <c r="C15" s="84"/>
      <c r="D15" s="84">
        <v>147532</v>
      </c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>
        <v>34673</v>
      </c>
      <c r="R15" s="84"/>
      <c r="S15" s="84"/>
      <c r="T15" s="84">
        <v>347881</v>
      </c>
      <c r="U15" s="84"/>
      <c r="V15" s="84"/>
      <c r="W15" s="84"/>
      <c r="X15" s="84"/>
      <c r="Y15" s="84"/>
      <c r="Z15" s="84"/>
      <c r="AA15" s="84"/>
      <c r="AB15" s="84"/>
      <c r="AC15" s="84"/>
      <c r="AD15" s="84">
        <v>3188483</v>
      </c>
      <c r="AE15" s="84">
        <v>1435841</v>
      </c>
      <c r="AF15" s="84">
        <v>1910406</v>
      </c>
      <c r="AG15" s="84"/>
      <c r="AH15" s="69">
        <f t="shared" si="2"/>
        <v>7064816</v>
      </c>
    </row>
    <row r="16" spans="1:34" x14ac:dyDescent="0.25">
      <c r="A16" s="21" t="s">
        <v>242</v>
      </c>
      <c r="B16" s="84">
        <v>42019</v>
      </c>
      <c r="C16" s="84">
        <v>945171</v>
      </c>
      <c r="D16" s="84">
        <v>2339291</v>
      </c>
      <c r="E16" s="84">
        <v>4271058</v>
      </c>
      <c r="F16" s="84">
        <v>177336</v>
      </c>
      <c r="G16" s="84">
        <v>726722</v>
      </c>
      <c r="H16" s="84">
        <v>3036370.76</v>
      </c>
      <c r="I16" s="84">
        <v>129620</v>
      </c>
      <c r="J16" s="84">
        <v>410987</v>
      </c>
      <c r="K16" s="84">
        <v>1024080</v>
      </c>
      <c r="L16" s="84">
        <v>2733604</v>
      </c>
      <c r="M16" s="84">
        <v>6268342</v>
      </c>
      <c r="N16" s="84">
        <v>897996</v>
      </c>
      <c r="O16" s="84">
        <v>69201</v>
      </c>
      <c r="P16" s="84">
        <v>282911</v>
      </c>
      <c r="Q16" s="84">
        <v>236068</v>
      </c>
      <c r="R16" s="84">
        <v>284388</v>
      </c>
      <c r="S16" s="84">
        <v>475202</v>
      </c>
      <c r="T16" s="84">
        <v>5091177</v>
      </c>
      <c r="U16" s="84">
        <v>6276</v>
      </c>
      <c r="V16" s="84">
        <v>71352</v>
      </c>
      <c r="W16" s="84">
        <v>485787</v>
      </c>
      <c r="X16" s="84">
        <v>489986</v>
      </c>
      <c r="Y16" s="84">
        <v>267997</v>
      </c>
      <c r="Z16" s="84">
        <v>2135862</v>
      </c>
      <c r="AA16" s="84">
        <v>453361</v>
      </c>
      <c r="AB16" s="84">
        <v>989672</v>
      </c>
      <c r="AC16" s="84">
        <v>2370838</v>
      </c>
      <c r="AD16" s="84">
        <v>4226845</v>
      </c>
      <c r="AE16" s="84">
        <v>5533414</v>
      </c>
      <c r="AF16" s="84">
        <v>2580809</v>
      </c>
      <c r="AG16" s="84">
        <v>314289</v>
      </c>
      <c r="AH16" s="69">
        <f t="shared" si="2"/>
        <v>49368031.759999998</v>
      </c>
    </row>
    <row r="17" spans="1:34" x14ac:dyDescent="0.25">
      <c r="A17" s="21" t="s">
        <v>243</v>
      </c>
      <c r="B17" s="84"/>
      <c r="C17" s="84"/>
      <c r="D17" s="84">
        <v>91656</v>
      </c>
      <c r="E17" s="84">
        <v>1262560</v>
      </c>
      <c r="F17" s="84"/>
      <c r="G17" s="84">
        <v>1978639</v>
      </c>
      <c r="H17" s="84">
        <v>442470.76</v>
      </c>
      <c r="I17" s="84"/>
      <c r="J17" s="84">
        <v>498946</v>
      </c>
      <c r="K17" s="84"/>
      <c r="L17" s="84">
        <v>736533</v>
      </c>
      <c r="M17" s="84">
        <v>3498557</v>
      </c>
      <c r="N17" s="84">
        <v>268943</v>
      </c>
      <c r="O17" s="84"/>
      <c r="P17" s="84"/>
      <c r="Q17" s="84">
        <v>195952</v>
      </c>
      <c r="R17" s="84"/>
      <c r="S17" s="84"/>
      <c r="T17" s="84"/>
      <c r="U17" s="84"/>
      <c r="V17" s="84">
        <v>62826</v>
      </c>
      <c r="W17" s="84">
        <v>372735</v>
      </c>
      <c r="X17" s="84">
        <v>421600</v>
      </c>
      <c r="Y17" s="84">
        <v>578862</v>
      </c>
      <c r="Z17" s="84">
        <v>167580</v>
      </c>
      <c r="AA17" s="84">
        <v>319000</v>
      </c>
      <c r="AB17" s="84">
        <v>4213143</v>
      </c>
      <c r="AC17" s="84">
        <v>634955</v>
      </c>
      <c r="AD17" s="84">
        <v>2511017</v>
      </c>
      <c r="AE17" s="84"/>
      <c r="AF17" s="84"/>
      <c r="AG17" s="84">
        <v>10939</v>
      </c>
      <c r="AH17" s="69">
        <f t="shared" si="2"/>
        <v>18266913.759999998</v>
      </c>
    </row>
    <row r="18" spans="1:34" x14ac:dyDescent="0.25">
      <c r="A18" s="14" t="s">
        <v>244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69"/>
    </row>
    <row r="19" spans="1:34" x14ac:dyDescent="0.25">
      <c r="A19" s="21" t="s">
        <v>245</v>
      </c>
      <c r="B19" s="84">
        <v>239855</v>
      </c>
      <c r="C19" s="84">
        <v>515157</v>
      </c>
      <c r="D19" s="84">
        <v>50816033</v>
      </c>
      <c r="E19" s="84">
        <v>6833941</v>
      </c>
      <c r="F19" s="84">
        <v>388388</v>
      </c>
      <c r="G19" s="84">
        <v>337058</v>
      </c>
      <c r="H19" s="84">
        <v>15514600.970000001</v>
      </c>
      <c r="I19" s="84">
        <v>65744</v>
      </c>
      <c r="J19" s="84">
        <v>1295914</v>
      </c>
      <c r="K19" s="84">
        <v>1598875</v>
      </c>
      <c r="L19" s="84">
        <v>4738249</v>
      </c>
      <c r="M19" s="84">
        <v>2276495</v>
      </c>
      <c r="N19" s="84">
        <v>1296077</v>
      </c>
      <c r="O19" s="84">
        <v>78288</v>
      </c>
      <c r="P19" s="84">
        <v>120417</v>
      </c>
      <c r="Q19" s="84">
        <v>375409</v>
      </c>
      <c r="R19" s="84">
        <v>663693</v>
      </c>
      <c r="S19" s="84">
        <v>304073</v>
      </c>
      <c r="T19" s="84">
        <v>6329249</v>
      </c>
      <c r="U19" s="84">
        <v>27070</v>
      </c>
      <c r="V19" s="84">
        <v>42335</v>
      </c>
      <c r="W19" s="84">
        <v>1995451</v>
      </c>
      <c r="X19" s="84">
        <v>456800</v>
      </c>
      <c r="Y19" s="84">
        <v>736338</v>
      </c>
      <c r="Z19" s="84">
        <v>4308154</v>
      </c>
      <c r="AA19" s="84">
        <v>211836</v>
      </c>
      <c r="AB19" s="84">
        <v>18789939</v>
      </c>
      <c r="AC19" s="84">
        <v>3173499</v>
      </c>
      <c r="AD19" s="84">
        <v>116825969</v>
      </c>
      <c r="AE19" s="84">
        <v>40421845</v>
      </c>
      <c r="AF19" s="84">
        <v>40919152</v>
      </c>
      <c r="AG19" s="84">
        <v>1933754</v>
      </c>
      <c r="AH19" s="69">
        <f t="shared" ref="AH19:AH28" si="5">SUM(B19:AG19)</f>
        <v>323629657.97000003</v>
      </c>
    </row>
    <row r="20" spans="1:34" x14ac:dyDescent="0.25">
      <c r="A20" s="21" t="s">
        <v>246</v>
      </c>
      <c r="B20" s="84">
        <v>516721</v>
      </c>
      <c r="C20" s="84">
        <v>1119856</v>
      </c>
      <c r="D20" s="84">
        <v>58310063</v>
      </c>
      <c r="E20" s="84">
        <v>22578481</v>
      </c>
      <c r="F20" s="84">
        <v>10390508</v>
      </c>
      <c r="G20" s="84">
        <v>11444387</v>
      </c>
      <c r="H20" s="84">
        <v>9686746.9299999997</v>
      </c>
      <c r="I20" s="84">
        <v>636422</v>
      </c>
      <c r="J20" s="84">
        <v>5793850</v>
      </c>
      <c r="K20" s="84">
        <v>3116000</v>
      </c>
      <c r="L20" s="84">
        <v>18551807</v>
      </c>
      <c r="M20" s="84">
        <v>72013045</v>
      </c>
      <c r="N20" s="84">
        <v>19740067</v>
      </c>
      <c r="O20" s="84">
        <v>574463</v>
      </c>
      <c r="P20" s="84">
        <v>2801961</v>
      </c>
      <c r="Q20" s="84">
        <v>1666635</v>
      </c>
      <c r="R20" s="84">
        <v>333928</v>
      </c>
      <c r="S20" s="84">
        <v>1995570</v>
      </c>
      <c r="T20" s="84">
        <v>73738926</v>
      </c>
      <c r="U20" s="84">
        <v>179527</v>
      </c>
      <c r="V20" s="84">
        <v>510651</v>
      </c>
      <c r="W20" s="84">
        <v>21567741</v>
      </c>
      <c r="X20" s="84">
        <v>2102815</v>
      </c>
      <c r="Y20" s="84">
        <v>8931684</v>
      </c>
      <c r="Z20" s="84">
        <v>11419764</v>
      </c>
      <c r="AA20" s="84">
        <v>5227354</v>
      </c>
      <c r="AB20" s="84">
        <v>12650186</v>
      </c>
      <c r="AC20" s="84">
        <v>10270832</v>
      </c>
      <c r="AD20" s="84">
        <v>111558152</v>
      </c>
      <c r="AE20" s="84">
        <v>55188380</v>
      </c>
      <c r="AF20" s="84">
        <v>53910905</v>
      </c>
      <c r="AG20" s="84">
        <v>9490389</v>
      </c>
      <c r="AH20" s="69">
        <f t="shared" si="5"/>
        <v>618017816.93000007</v>
      </c>
    </row>
    <row r="21" spans="1:34" s="35" customFormat="1" x14ac:dyDescent="0.25">
      <c r="A21" s="14" t="s">
        <v>247</v>
      </c>
      <c r="B21" s="34">
        <f>B19+B20</f>
        <v>756576</v>
      </c>
      <c r="C21" s="34">
        <f t="shared" ref="C21:AG21" si="6">C19+C20</f>
        <v>1635013</v>
      </c>
      <c r="D21" s="34">
        <f t="shared" si="6"/>
        <v>109126096</v>
      </c>
      <c r="E21" s="34">
        <f t="shared" si="6"/>
        <v>29412422</v>
      </c>
      <c r="F21" s="34">
        <f t="shared" si="6"/>
        <v>10778896</v>
      </c>
      <c r="G21" s="34">
        <f t="shared" si="6"/>
        <v>11781445</v>
      </c>
      <c r="H21" s="34">
        <f t="shared" si="6"/>
        <v>25201347.899999999</v>
      </c>
      <c r="I21" s="34">
        <f t="shared" si="6"/>
        <v>702166</v>
      </c>
      <c r="J21" s="34">
        <f t="shared" si="6"/>
        <v>7089764</v>
      </c>
      <c r="K21" s="34">
        <f t="shared" si="6"/>
        <v>4714875</v>
      </c>
      <c r="L21" s="34">
        <f t="shared" si="6"/>
        <v>23290056</v>
      </c>
      <c r="M21" s="34">
        <f t="shared" si="6"/>
        <v>74289540</v>
      </c>
      <c r="N21" s="34">
        <f t="shared" si="6"/>
        <v>21036144</v>
      </c>
      <c r="O21" s="34">
        <f t="shared" si="6"/>
        <v>652751</v>
      </c>
      <c r="P21" s="34">
        <f t="shared" si="6"/>
        <v>2922378</v>
      </c>
      <c r="Q21" s="34">
        <f t="shared" si="6"/>
        <v>2042044</v>
      </c>
      <c r="R21" s="34">
        <f t="shared" si="6"/>
        <v>997621</v>
      </c>
      <c r="S21" s="34">
        <f t="shared" si="6"/>
        <v>2299643</v>
      </c>
      <c r="T21" s="34">
        <f t="shared" si="6"/>
        <v>80068175</v>
      </c>
      <c r="U21" s="34">
        <f t="shared" si="6"/>
        <v>206597</v>
      </c>
      <c r="V21" s="34">
        <f t="shared" si="6"/>
        <v>552986</v>
      </c>
      <c r="W21" s="34">
        <f t="shared" si="6"/>
        <v>23563192</v>
      </c>
      <c r="X21" s="34">
        <f t="shared" si="6"/>
        <v>2559615</v>
      </c>
      <c r="Y21" s="34">
        <f t="shared" si="6"/>
        <v>9668022</v>
      </c>
      <c r="Z21" s="34">
        <f t="shared" si="6"/>
        <v>15727918</v>
      </c>
      <c r="AA21" s="34">
        <f t="shared" si="6"/>
        <v>5439190</v>
      </c>
      <c r="AB21" s="34">
        <f t="shared" si="6"/>
        <v>31440125</v>
      </c>
      <c r="AC21" s="34">
        <f t="shared" si="6"/>
        <v>13444331</v>
      </c>
      <c r="AD21" s="34">
        <f t="shared" si="6"/>
        <v>228384121</v>
      </c>
      <c r="AE21" s="34">
        <f t="shared" si="6"/>
        <v>95610225</v>
      </c>
      <c r="AF21" s="34">
        <f t="shared" si="6"/>
        <v>94830057</v>
      </c>
      <c r="AG21" s="34">
        <f t="shared" si="6"/>
        <v>11424143</v>
      </c>
      <c r="AH21" s="70">
        <f t="shared" si="5"/>
        <v>941647474.89999998</v>
      </c>
    </row>
    <row r="22" spans="1:34" x14ac:dyDescent="0.25">
      <c r="A22" s="21" t="s">
        <v>248</v>
      </c>
      <c r="B22" s="84">
        <v>2803216</v>
      </c>
      <c r="C22" s="84">
        <v>5673868</v>
      </c>
      <c r="D22" s="84">
        <v>194498801</v>
      </c>
      <c r="E22" s="84">
        <v>142261803</v>
      </c>
      <c r="F22" s="84">
        <v>43976658</v>
      </c>
      <c r="G22" s="84">
        <v>80928323</v>
      </c>
      <c r="H22" s="84">
        <v>73545568.579999998</v>
      </c>
      <c r="I22" s="84">
        <v>2127302</v>
      </c>
      <c r="J22" s="84">
        <v>38601685</v>
      </c>
      <c r="K22" s="84">
        <v>32363026</v>
      </c>
      <c r="L22" s="84">
        <v>112312673</v>
      </c>
      <c r="M22" s="84">
        <v>240994775</v>
      </c>
      <c r="N22" s="84">
        <v>89890112</v>
      </c>
      <c r="O22" s="84">
        <v>4675650</v>
      </c>
      <c r="P22" s="84">
        <v>18895416</v>
      </c>
      <c r="Q22" s="84">
        <v>23174685</v>
      </c>
      <c r="R22" s="84">
        <v>2538713</v>
      </c>
      <c r="S22" s="84">
        <v>6359512</v>
      </c>
      <c r="T22" s="84">
        <v>276898120</v>
      </c>
      <c r="U22" s="84">
        <v>1543702</v>
      </c>
      <c r="V22" s="84">
        <v>3788039</v>
      </c>
      <c r="W22" s="84">
        <v>112487973</v>
      </c>
      <c r="X22" s="84">
        <v>8472864</v>
      </c>
      <c r="Y22" s="84">
        <v>47919101</v>
      </c>
      <c r="Z22" s="84">
        <v>55408082</v>
      </c>
      <c r="AA22" s="84">
        <v>78904838</v>
      </c>
      <c r="AB22" s="84">
        <v>15643045</v>
      </c>
      <c r="AC22" s="84">
        <v>103180452</v>
      </c>
      <c r="AD22" s="84">
        <v>394773634</v>
      </c>
      <c r="AE22" s="84">
        <v>195139868</v>
      </c>
      <c r="AF22" s="84">
        <v>278104810</v>
      </c>
      <c r="AG22" s="84">
        <v>30618344</v>
      </c>
      <c r="AH22" s="69">
        <f t="shared" si="5"/>
        <v>2718504658.5799999</v>
      </c>
    </row>
    <row r="23" spans="1:34" x14ac:dyDescent="0.25">
      <c r="A23" s="21" t="s">
        <v>60</v>
      </c>
      <c r="B23" s="84">
        <v>1285717</v>
      </c>
      <c r="C23" s="84">
        <v>5316975</v>
      </c>
      <c r="D23" s="84">
        <v>7793891</v>
      </c>
      <c r="E23" s="84">
        <v>42213924</v>
      </c>
      <c r="F23" s="84">
        <v>11322395</v>
      </c>
      <c r="G23" s="84">
        <v>24048667</v>
      </c>
      <c r="H23" s="84">
        <v>9418532.5199999996</v>
      </c>
      <c r="I23" s="84">
        <v>1156223</v>
      </c>
      <c r="J23" s="84">
        <v>13066053</v>
      </c>
      <c r="K23" s="84">
        <v>15379835</v>
      </c>
      <c r="L23" s="84">
        <v>43301516</v>
      </c>
      <c r="M23" s="84">
        <v>65973672</v>
      </c>
      <c r="N23" s="84">
        <v>25375615</v>
      </c>
      <c r="O23" s="84">
        <v>3451767</v>
      </c>
      <c r="P23" s="84">
        <v>7283623</v>
      </c>
      <c r="Q23" s="84">
        <v>5012052</v>
      </c>
      <c r="R23" s="84">
        <v>3668146</v>
      </c>
      <c r="S23" s="84">
        <v>6862748</v>
      </c>
      <c r="T23" s="84">
        <v>68672054</v>
      </c>
      <c r="U23" s="84">
        <v>1995468</v>
      </c>
      <c r="V23" s="84">
        <v>1698458</v>
      </c>
      <c r="W23" s="84">
        <v>19380500</v>
      </c>
      <c r="X23" s="84">
        <v>10976833</v>
      </c>
      <c r="Y23" s="84">
        <v>12399177</v>
      </c>
      <c r="Z23" s="84">
        <v>30247822</v>
      </c>
      <c r="AA23" s="84">
        <v>11278891</v>
      </c>
      <c r="AB23" s="84">
        <v>51946396</v>
      </c>
      <c r="AC23" s="84">
        <v>36643077</v>
      </c>
      <c r="AD23" s="84">
        <v>142612134</v>
      </c>
      <c r="AE23" s="84">
        <v>70675491</v>
      </c>
      <c r="AF23" s="84">
        <v>82875620</v>
      </c>
      <c r="AG23" s="84">
        <v>6491216</v>
      </c>
      <c r="AH23" s="69">
        <f t="shared" si="5"/>
        <v>839824488.51999998</v>
      </c>
    </row>
    <row r="24" spans="1:34" s="35" customFormat="1" x14ac:dyDescent="0.25">
      <c r="A24" s="14" t="s">
        <v>249</v>
      </c>
      <c r="B24" s="34">
        <f>B22+B23</f>
        <v>4088933</v>
      </c>
      <c r="C24" s="34">
        <f t="shared" ref="C24:AG24" si="7">C22+C23</f>
        <v>10990843</v>
      </c>
      <c r="D24" s="34">
        <f t="shared" si="7"/>
        <v>202292692</v>
      </c>
      <c r="E24" s="34">
        <f t="shared" si="7"/>
        <v>184475727</v>
      </c>
      <c r="F24" s="34">
        <f t="shared" si="7"/>
        <v>55299053</v>
      </c>
      <c r="G24" s="34">
        <f t="shared" si="7"/>
        <v>104976990</v>
      </c>
      <c r="H24" s="34">
        <f t="shared" si="7"/>
        <v>82964101.099999994</v>
      </c>
      <c r="I24" s="34">
        <f t="shared" si="7"/>
        <v>3283525</v>
      </c>
      <c r="J24" s="34">
        <f t="shared" si="7"/>
        <v>51667738</v>
      </c>
      <c r="K24" s="34">
        <f t="shared" si="7"/>
        <v>47742861</v>
      </c>
      <c r="L24" s="34">
        <f t="shared" si="7"/>
        <v>155614189</v>
      </c>
      <c r="M24" s="34">
        <f t="shared" si="7"/>
        <v>306968447</v>
      </c>
      <c r="N24" s="34">
        <f t="shared" si="7"/>
        <v>115265727</v>
      </c>
      <c r="O24" s="34">
        <f t="shared" si="7"/>
        <v>8127417</v>
      </c>
      <c r="P24" s="34">
        <f t="shared" si="7"/>
        <v>26179039</v>
      </c>
      <c r="Q24" s="34">
        <f t="shared" si="7"/>
        <v>28186737</v>
      </c>
      <c r="R24" s="34">
        <f t="shared" si="7"/>
        <v>6206859</v>
      </c>
      <c r="S24" s="34">
        <f t="shared" si="7"/>
        <v>13222260</v>
      </c>
      <c r="T24" s="34">
        <f t="shared" si="7"/>
        <v>345570174</v>
      </c>
      <c r="U24" s="34">
        <f t="shared" si="7"/>
        <v>3539170</v>
      </c>
      <c r="V24" s="34">
        <f t="shared" si="7"/>
        <v>5486497</v>
      </c>
      <c r="W24" s="34">
        <f t="shared" si="7"/>
        <v>131868473</v>
      </c>
      <c r="X24" s="34">
        <f t="shared" si="7"/>
        <v>19449697</v>
      </c>
      <c r="Y24" s="34">
        <f t="shared" si="7"/>
        <v>60318278</v>
      </c>
      <c r="Z24" s="34">
        <f t="shared" si="7"/>
        <v>85655904</v>
      </c>
      <c r="AA24" s="34">
        <f t="shared" si="7"/>
        <v>90183729</v>
      </c>
      <c r="AB24" s="34">
        <f t="shared" si="7"/>
        <v>67589441</v>
      </c>
      <c r="AC24" s="34">
        <f t="shared" si="7"/>
        <v>139823529</v>
      </c>
      <c r="AD24" s="34">
        <f t="shared" si="7"/>
        <v>537385768</v>
      </c>
      <c r="AE24" s="34">
        <f t="shared" si="7"/>
        <v>265815359</v>
      </c>
      <c r="AF24" s="34">
        <f t="shared" si="7"/>
        <v>360980430</v>
      </c>
      <c r="AG24" s="34">
        <f t="shared" si="7"/>
        <v>37109560</v>
      </c>
      <c r="AH24" s="70">
        <f t="shared" si="5"/>
        <v>3558329147.0999999</v>
      </c>
    </row>
    <row r="25" spans="1:34" s="7" customFormat="1" x14ac:dyDescent="0.25">
      <c r="A25" s="3" t="s">
        <v>250</v>
      </c>
      <c r="B25" s="10">
        <f>B21-B24</f>
        <v>-3332357</v>
      </c>
      <c r="C25" s="10">
        <f t="shared" ref="C25:AG25" si="8">C21-C24</f>
        <v>-9355830</v>
      </c>
      <c r="D25" s="10">
        <f t="shared" si="8"/>
        <v>-93166596</v>
      </c>
      <c r="E25" s="10">
        <f t="shared" si="8"/>
        <v>-155063305</v>
      </c>
      <c r="F25" s="10">
        <f t="shared" si="8"/>
        <v>-44520157</v>
      </c>
      <c r="G25" s="10">
        <f t="shared" si="8"/>
        <v>-93195545</v>
      </c>
      <c r="H25" s="10">
        <f t="shared" si="8"/>
        <v>-57762753.199999996</v>
      </c>
      <c r="I25" s="10">
        <f t="shared" si="8"/>
        <v>-2581359</v>
      </c>
      <c r="J25" s="10">
        <f t="shared" si="8"/>
        <v>-44577974</v>
      </c>
      <c r="K25" s="10">
        <f t="shared" si="8"/>
        <v>-43027986</v>
      </c>
      <c r="L25" s="10">
        <f t="shared" si="8"/>
        <v>-132324133</v>
      </c>
      <c r="M25" s="10">
        <f t="shared" si="8"/>
        <v>-232678907</v>
      </c>
      <c r="N25" s="10">
        <f t="shared" si="8"/>
        <v>-94229583</v>
      </c>
      <c r="O25" s="10">
        <f t="shared" si="8"/>
        <v>-7474666</v>
      </c>
      <c r="P25" s="10">
        <f t="shared" si="8"/>
        <v>-23256661</v>
      </c>
      <c r="Q25" s="10">
        <f t="shared" si="8"/>
        <v>-26144693</v>
      </c>
      <c r="R25" s="10">
        <f t="shared" si="8"/>
        <v>-5209238</v>
      </c>
      <c r="S25" s="10">
        <f t="shared" si="8"/>
        <v>-10922617</v>
      </c>
      <c r="T25" s="10">
        <f t="shared" si="8"/>
        <v>-265501999</v>
      </c>
      <c r="U25" s="10">
        <f t="shared" si="8"/>
        <v>-3332573</v>
      </c>
      <c r="V25" s="10">
        <f t="shared" si="8"/>
        <v>-4933511</v>
      </c>
      <c r="W25" s="10">
        <f t="shared" si="8"/>
        <v>-108305281</v>
      </c>
      <c r="X25" s="10">
        <f t="shared" si="8"/>
        <v>-16890082</v>
      </c>
      <c r="Y25" s="10">
        <f t="shared" si="8"/>
        <v>-50650256</v>
      </c>
      <c r="Z25" s="10">
        <f t="shared" si="8"/>
        <v>-69927986</v>
      </c>
      <c r="AA25" s="10">
        <f t="shared" si="8"/>
        <v>-84744539</v>
      </c>
      <c r="AB25" s="10">
        <f t="shared" si="8"/>
        <v>-36149316</v>
      </c>
      <c r="AC25" s="10">
        <f t="shared" si="8"/>
        <v>-126379198</v>
      </c>
      <c r="AD25" s="10">
        <f t="shared" si="8"/>
        <v>-309001647</v>
      </c>
      <c r="AE25" s="10">
        <f t="shared" si="8"/>
        <v>-170205134</v>
      </c>
      <c r="AF25" s="10">
        <f t="shared" si="8"/>
        <v>-266150373</v>
      </c>
      <c r="AG25" s="10">
        <f t="shared" si="8"/>
        <v>-25685417</v>
      </c>
      <c r="AH25" s="68">
        <f t="shared" si="5"/>
        <v>-2616681672.1999998</v>
      </c>
    </row>
    <row r="26" spans="1:34" ht="30" x14ac:dyDescent="0.25">
      <c r="A26" s="21" t="s">
        <v>251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>
        <v>4732848</v>
      </c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>
        <v>8914278</v>
      </c>
      <c r="AF26" s="84"/>
      <c r="AG26" s="84"/>
      <c r="AH26" s="69">
        <f t="shared" si="5"/>
        <v>13647126</v>
      </c>
    </row>
    <row r="27" spans="1:34" ht="30" x14ac:dyDescent="0.25">
      <c r="A27" s="21" t="s">
        <v>252</v>
      </c>
      <c r="B27" s="84">
        <v>4666750</v>
      </c>
      <c r="C27" s="84">
        <v>9844169</v>
      </c>
      <c r="D27" s="84"/>
      <c r="E27" s="84"/>
      <c r="F27" s="84">
        <v>13959883</v>
      </c>
      <c r="G27" s="84"/>
      <c r="H27" s="84"/>
      <c r="I27" s="84">
        <v>2801001</v>
      </c>
      <c r="J27" s="84"/>
      <c r="K27" s="84">
        <v>6450025</v>
      </c>
      <c r="L27" s="84"/>
      <c r="M27" s="84"/>
      <c r="N27" s="84"/>
      <c r="O27" s="84">
        <v>1386612</v>
      </c>
      <c r="P27" s="84">
        <v>10110504</v>
      </c>
      <c r="Q27" s="84">
        <v>127129</v>
      </c>
      <c r="R27" s="84">
        <v>10051508</v>
      </c>
      <c r="S27" s="84">
        <v>8298344</v>
      </c>
      <c r="T27" s="84">
        <v>46275815</v>
      </c>
      <c r="U27" s="84">
        <v>2397581</v>
      </c>
      <c r="V27" s="84">
        <v>1423227</v>
      </c>
      <c r="W27" s="84"/>
      <c r="X27" s="84">
        <v>933289</v>
      </c>
      <c r="Y27" s="84"/>
      <c r="Z27" s="84"/>
      <c r="AA27" s="84"/>
      <c r="AB27" s="84">
        <v>7245362</v>
      </c>
      <c r="AC27" s="84"/>
      <c r="AD27" s="84">
        <v>12304200</v>
      </c>
      <c r="AE27" s="84"/>
      <c r="AF27" s="84"/>
      <c r="AG27" s="84"/>
      <c r="AH27" s="69">
        <f t="shared" si="5"/>
        <v>138275399</v>
      </c>
    </row>
    <row r="28" spans="1:34" s="7" customFormat="1" x14ac:dyDescent="0.25">
      <c r="A28" s="3" t="s">
        <v>42</v>
      </c>
      <c r="B28" s="10">
        <v>5960384</v>
      </c>
      <c r="C28" s="10">
        <v>13813183</v>
      </c>
      <c r="D28" s="10">
        <v>46261803</v>
      </c>
      <c r="E28" s="10">
        <v>75244615</v>
      </c>
      <c r="F28" s="10">
        <v>24881504</v>
      </c>
      <c r="G28" s="10">
        <v>20114871</v>
      </c>
      <c r="H28" s="10">
        <v>70071920.5</v>
      </c>
      <c r="I28" s="10">
        <v>3952940</v>
      </c>
      <c r="J28" s="10">
        <v>11382244</v>
      </c>
      <c r="K28" s="10">
        <v>18748346</v>
      </c>
      <c r="L28" s="10">
        <v>37575542</v>
      </c>
      <c r="M28" s="10">
        <v>86009841</v>
      </c>
      <c r="N28" s="10">
        <v>27770026</v>
      </c>
      <c r="O28" s="10">
        <v>3299724</v>
      </c>
      <c r="P28" s="10">
        <v>18346730</v>
      </c>
      <c r="Q28" s="10">
        <v>4386792</v>
      </c>
      <c r="R28" s="10">
        <v>13148083</v>
      </c>
      <c r="S28" s="10">
        <v>14066534</v>
      </c>
      <c r="T28" s="10">
        <v>83742955.593577355</v>
      </c>
      <c r="U28" s="10">
        <v>4958080</v>
      </c>
      <c r="V28" s="10">
        <v>3572201</v>
      </c>
      <c r="W28" s="10">
        <v>22886744</v>
      </c>
      <c r="X28" s="10">
        <v>11304853</v>
      </c>
      <c r="Y28" s="10">
        <v>15040024</v>
      </c>
      <c r="Z28" s="10">
        <v>28155728</v>
      </c>
      <c r="AA28" s="10">
        <v>21434793</v>
      </c>
      <c r="AB28" s="10">
        <v>44665722</v>
      </c>
      <c r="AC28" s="10">
        <v>38395710</v>
      </c>
      <c r="AD28" s="10">
        <v>376811128</v>
      </c>
      <c r="AE28" s="10">
        <v>85526200</v>
      </c>
      <c r="AF28" s="10">
        <v>77661504</v>
      </c>
      <c r="AG28" s="10">
        <v>10176788</v>
      </c>
      <c r="AH28" s="68">
        <f t="shared" si="5"/>
        <v>1319367513.0935774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9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33.140625" style="76" customWidth="1"/>
    <col min="2" max="67" width="16" style="76" customWidth="1"/>
    <col min="68" max="16384" width="9.140625" style="76"/>
  </cols>
  <sheetData>
    <row r="1" spans="1:67" ht="18.75" x14ac:dyDescent="0.3">
      <c r="A1" s="4" t="s">
        <v>231</v>
      </c>
    </row>
    <row r="2" spans="1:67" x14ac:dyDescent="0.25">
      <c r="A2" s="13" t="s">
        <v>34</v>
      </c>
    </row>
    <row r="3" spans="1:67" x14ac:dyDescent="0.25">
      <c r="A3" s="28" t="s">
        <v>216</v>
      </c>
    </row>
    <row r="4" spans="1:67" x14ac:dyDescent="0.25">
      <c r="A4" s="1" t="s">
        <v>0</v>
      </c>
      <c r="B4" s="119" t="s">
        <v>1</v>
      </c>
      <c r="C4" s="120"/>
      <c r="D4" s="119" t="s">
        <v>282</v>
      </c>
      <c r="E4" s="120"/>
      <c r="F4" s="119" t="s">
        <v>2</v>
      </c>
      <c r="G4" s="120"/>
      <c r="H4" s="119" t="s">
        <v>3</v>
      </c>
      <c r="I4" s="120"/>
      <c r="J4" s="119" t="s">
        <v>4</v>
      </c>
      <c r="K4" s="120"/>
      <c r="L4" s="119" t="s">
        <v>283</v>
      </c>
      <c r="M4" s="120"/>
      <c r="N4" s="119" t="s">
        <v>6</v>
      </c>
      <c r="O4" s="120"/>
      <c r="P4" s="119" t="s">
        <v>5</v>
      </c>
      <c r="Q4" s="120"/>
      <c r="R4" s="119" t="s">
        <v>7</v>
      </c>
      <c r="S4" s="120"/>
      <c r="T4" s="119" t="s">
        <v>284</v>
      </c>
      <c r="U4" s="120"/>
      <c r="V4" s="119" t="s">
        <v>8</v>
      </c>
      <c r="W4" s="120"/>
      <c r="X4" s="119" t="s">
        <v>9</v>
      </c>
      <c r="Y4" s="120"/>
      <c r="Z4" s="119" t="s">
        <v>10</v>
      </c>
      <c r="AA4" s="120"/>
      <c r="AB4" s="119" t="s">
        <v>293</v>
      </c>
      <c r="AC4" s="120"/>
      <c r="AD4" s="119" t="s">
        <v>11</v>
      </c>
      <c r="AE4" s="120"/>
      <c r="AF4" s="119" t="s">
        <v>12</v>
      </c>
      <c r="AG4" s="120"/>
      <c r="AH4" s="119" t="s">
        <v>285</v>
      </c>
      <c r="AI4" s="120"/>
      <c r="AJ4" s="119" t="s">
        <v>290</v>
      </c>
      <c r="AK4" s="120"/>
      <c r="AL4" s="119" t="s">
        <v>13</v>
      </c>
      <c r="AM4" s="120"/>
      <c r="AN4" s="119" t="s">
        <v>286</v>
      </c>
      <c r="AO4" s="120"/>
      <c r="AP4" s="119" t="s">
        <v>287</v>
      </c>
      <c r="AQ4" s="120"/>
      <c r="AR4" s="119" t="s">
        <v>291</v>
      </c>
      <c r="AS4" s="120"/>
      <c r="AT4" s="119" t="s">
        <v>294</v>
      </c>
      <c r="AU4" s="120"/>
      <c r="AV4" s="119" t="s">
        <v>14</v>
      </c>
      <c r="AW4" s="120"/>
      <c r="AX4" s="119" t="s">
        <v>15</v>
      </c>
      <c r="AY4" s="120"/>
      <c r="AZ4" s="119" t="s">
        <v>16</v>
      </c>
      <c r="BA4" s="120"/>
      <c r="BB4" s="119" t="s">
        <v>17</v>
      </c>
      <c r="BC4" s="120"/>
      <c r="BD4" s="119" t="s">
        <v>18</v>
      </c>
      <c r="BE4" s="120"/>
      <c r="BF4" s="119" t="s">
        <v>288</v>
      </c>
      <c r="BG4" s="120"/>
      <c r="BH4" s="119" t="s">
        <v>289</v>
      </c>
      <c r="BI4" s="120"/>
      <c r="BJ4" s="119" t="s">
        <v>19</v>
      </c>
      <c r="BK4" s="120"/>
      <c r="BL4" s="119" t="s">
        <v>20</v>
      </c>
      <c r="BM4" s="120"/>
      <c r="BN4" s="121" t="s">
        <v>21</v>
      </c>
      <c r="BO4" s="122"/>
    </row>
    <row r="5" spans="1:67" ht="30" x14ac:dyDescent="0.25">
      <c r="A5" s="1"/>
      <c r="B5" s="57" t="s">
        <v>296</v>
      </c>
      <c r="C5" s="58" t="s">
        <v>297</v>
      </c>
      <c r="D5" s="57" t="s">
        <v>296</v>
      </c>
      <c r="E5" s="58" t="s">
        <v>297</v>
      </c>
      <c r="F5" s="57" t="s">
        <v>296</v>
      </c>
      <c r="G5" s="58" t="s">
        <v>297</v>
      </c>
      <c r="H5" s="57" t="s">
        <v>296</v>
      </c>
      <c r="I5" s="58" t="s">
        <v>297</v>
      </c>
      <c r="J5" s="57" t="s">
        <v>296</v>
      </c>
      <c r="K5" s="58" t="s">
        <v>297</v>
      </c>
      <c r="L5" s="57" t="s">
        <v>296</v>
      </c>
      <c r="M5" s="58" t="s">
        <v>297</v>
      </c>
      <c r="N5" s="57" t="s">
        <v>296</v>
      </c>
      <c r="O5" s="58" t="s">
        <v>297</v>
      </c>
      <c r="P5" s="57" t="s">
        <v>296</v>
      </c>
      <c r="Q5" s="58" t="s">
        <v>297</v>
      </c>
      <c r="R5" s="57" t="s">
        <v>296</v>
      </c>
      <c r="S5" s="58" t="s">
        <v>297</v>
      </c>
      <c r="T5" s="57" t="s">
        <v>296</v>
      </c>
      <c r="U5" s="58" t="s">
        <v>297</v>
      </c>
      <c r="V5" s="57" t="s">
        <v>296</v>
      </c>
      <c r="W5" s="58" t="s">
        <v>297</v>
      </c>
      <c r="X5" s="57" t="s">
        <v>296</v>
      </c>
      <c r="Y5" s="58" t="s">
        <v>297</v>
      </c>
      <c r="Z5" s="57" t="s">
        <v>296</v>
      </c>
      <c r="AA5" s="58" t="s">
        <v>297</v>
      </c>
      <c r="AB5" s="57" t="s">
        <v>296</v>
      </c>
      <c r="AC5" s="58" t="s">
        <v>297</v>
      </c>
      <c r="AD5" s="57" t="s">
        <v>296</v>
      </c>
      <c r="AE5" s="58" t="s">
        <v>297</v>
      </c>
      <c r="AF5" s="57" t="s">
        <v>296</v>
      </c>
      <c r="AG5" s="58" t="s">
        <v>297</v>
      </c>
      <c r="AH5" s="57" t="s">
        <v>296</v>
      </c>
      <c r="AI5" s="58" t="s">
        <v>297</v>
      </c>
      <c r="AJ5" s="57" t="s">
        <v>296</v>
      </c>
      <c r="AK5" s="58" t="s">
        <v>297</v>
      </c>
      <c r="AL5" s="57" t="s">
        <v>296</v>
      </c>
      <c r="AM5" s="58" t="s">
        <v>297</v>
      </c>
      <c r="AN5" s="57" t="s">
        <v>296</v>
      </c>
      <c r="AO5" s="58" t="s">
        <v>297</v>
      </c>
      <c r="AP5" s="57" t="s">
        <v>296</v>
      </c>
      <c r="AQ5" s="58" t="s">
        <v>297</v>
      </c>
      <c r="AR5" s="57" t="s">
        <v>296</v>
      </c>
      <c r="AS5" s="58" t="s">
        <v>297</v>
      </c>
      <c r="AT5" s="57" t="s">
        <v>296</v>
      </c>
      <c r="AU5" s="58" t="s">
        <v>297</v>
      </c>
      <c r="AV5" s="57" t="s">
        <v>296</v>
      </c>
      <c r="AW5" s="58" t="s">
        <v>297</v>
      </c>
      <c r="AX5" s="57" t="s">
        <v>296</v>
      </c>
      <c r="AY5" s="58" t="s">
        <v>297</v>
      </c>
      <c r="AZ5" s="57" t="s">
        <v>296</v>
      </c>
      <c r="BA5" s="58" t="s">
        <v>297</v>
      </c>
      <c r="BB5" s="57" t="s">
        <v>296</v>
      </c>
      <c r="BC5" s="58" t="s">
        <v>297</v>
      </c>
      <c r="BD5" s="57" t="s">
        <v>296</v>
      </c>
      <c r="BE5" s="58" t="s">
        <v>297</v>
      </c>
      <c r="BF5" s="57" t="s">
        <v>296</v>
      </c>
      <c r="BG5" s="58" t="s">
        <v>297</v>
      </c>
      <c r="BH5" s="57" t="s">
        <v>296</v>
      </c>
      <c r="BI5" s="58" t="s">
        <v>297</v>
      </c>
      <c r="BJ5" s="57" t="s">
        <v>296</v>
      </c>
      <c r="BK5" s="58" t="s">
        <v>297</v>
      </c>
      <c r="BL5" s="57" t="s">
        <v>296</v>
      </c>
      <c r="BM5" s="58" t="s">
        <v>297</v>
      </c>
      <c r="BN5" s="57" t="s">
        <v>296</v>
      </c>
      <c r="BO5" s="58" t="s">
        <v>297</v>
      </c>
    </row>
    <row r="6" spans="1:67" x14ac:dyDescent="0.25">
      <c r="A6" s="84" t="s">
        <v>271</v>
      </c>
      <c r="B6" s="84">
        <v>108</v>
      </c>
      <c r="C6" s="84">
        <v>142</v>
      </c>
      <c r="D6" s="84"/>
      <c r="E6" s="84"/>
      <c r="F6" s="84"/>
      <c r="G6" s="84"/>
      <c r="H6" s="84">
        <v>4301098</v>
      </c>
      <c r="I6" s="84">
        <v>16565498</v>
      </c>
      <c r="J6" s="84">
        <v>725474</v>
      </c>
      <c r="K6" s="84">
        <v>3242152</v>
      </c>
      <c r="L6" s="84">
        <v>1319454</v>
      </c>
      <c r="M6" s="84">
        <v>4447107</v>
      </c>
      <c r="N6" s="84"/>
      <c r="O6" s="84"/>
      <c r="P6" s="84">
        <v>32693</v>
      </c>
      <c r="Q6" s="84">
        <v>108894</v>
      </c>
      <c r="R6" s="84">
        <v>901366</v>
      </c>
      <c r="S6" s="84">
        <v>4437962</v>
      </c>
      <c r="T6" s="84">
        <v>302483</v>
      </c>
      <c r="U6" s="84">
        <v>1621665</v>
      </c>
      <c r="V6" s="84">
        <v>2523194</v>
      </c>
      <c r="W6" s="84">
        <v>11751194</v>
      </c>
      <c r="X6" s="84">
        <v>4101838</v>
      </c>
      <c r="Y6" s="84">
        <v>21577881</v>
      </c>
      <c r="Z6" s="84">
        <v>1462989</v>
      </c>
      <c r="AA6" s="84">
        <v>8149581</v>
      </c>
      <c r="AB6" s="84">
        <v>119670</v>
      </c>
      <c r="AC6" s="84">
        <v>354701</v>
      </c>
      <c r="AD6" s="84">
        <v>258553</v>
      </c>
      <c r="AE6" s="84">
        <v>978978</v>
      </c>
      <c r="AF6" s="84">
        <v>732699</v>
      </c>
      <c r="AG6" s="84">
        <v>1444990</v>
      </c>
      <c r="AH6" s="84"/>
      <c r="AI6" s="84"/>
      <c r="AJ6" s="84"/>
      <c r="AK6" s="84"/>
      <c r="AL6" s="84">
        <v>2469780.358492054</v>
      </c>
      <c r="AM6" s="84">
        <v>11948045.70547221</v>
      </c>
      <c r="AN6" s="84">
        <v>153598</v>
      </c>
      <c r="AO6" s="84">
        <v>306808</v>
      </c>
      <c r="AP6" s="84">
        <v>33387</v>
      </c>
      <c r="AQ6" s="84">
        <v>117876</v>
      </c>
      <c r="AR6" s="84">
        <v>1344180</v>
      </c>
      <c r="AS6" s="84">
        <v>8743342</v>
      </c>
      <c r="AT6" s="84"/>
      <c r="AU6" s="84"/>
      <c r="AV6" s="84">
        <v>576711</v>
      </c>
      <c r="AW6" s="84">
        <v>2725928</v>
      </c>
      <c r="AX6" s="84">
        <v>4252038</v>
      </c>
      <c r="AY6" s="84">
        <v>14114376</v>
      </c>
      <c r="AZ6" s="84">
        <v>110147</v>
      </c>
      <c r="BA6" s="84">
        <v>396328</v>
      </c>
      <c r="BB6" s="84"/>
      <c r="BC6" s="84"/>
      <c r="BD6" s="103">
        <v>3185700</v>
      </c>
      <c r="BE6" s="103">
        <v>14338993</v>
      </c>
      <c r="BF6" s="84">
        <v>10092313</v>
      </c>
      <c r="BG6" s="84">
        <v>47285959</v>
      </c>
      <c r="BH6" s="103">
        <v>3265337</v>
      </c>
      <c r="BI6" s="103">
        <v>17304480</v>
      </c>
      <c r="BJ6" s="103">
        <v>4226879</v>
      </c>
      <c r="BK6" s="103">
        <v>17782802</v>
      </c>
      <c r="BL6" s="103">
        <v>295705</v>
      </c>
      <c r="BM6" s="103">
        <v>1948778</v>
      </c>
      <c r="BN6" s="73">
        <f t="shared" ref="BN6:BN10" si="0">SUM(B6+D6+F6+H6+J6+L6+N6+P6+R6+T6+V6+X6+Z6+AB6+AD6+AF6+AH6+AJ6+AL6+AN6+AP6+AR6+AT6+AV6+AX6+AZ6+BB6+BD6+BF6+BH6+BJ6+BL6)</f>
        <v>46787394.358492054</v>
      </c>
      <c r="BO6" s="73">
        <f t="shared" ref="BO6:BO10" si="1">SUM(C6+E6+G6+I6+K6+M6+O6+Q6+S6+U6+W6+Y6+AA6+AC6+AE6+AG6+AI6+AK6+AM6+AO6+AQ6+AS6+AU6+AW6+AY6+BA6+BC6+BE6+BG6+BI6+BK6+BM6)</f>
        <v>211694460.70547223</v>
      </c>
    </row>
    <row r="7" spans="1:67" x14ac:dyDescent="0.25">
      <c r="A7" s="84" t="s">
        <v>274</v>
      </c>
      <c r="B7" s="84"/>
      <c r="C7" s="84"/>
      <c r="D7" s="84"/>
      <c r="E7" s="84"/>
      <c r="F7" s="84"/>
      <c r="G7" s="84"/>
      <c r="H7" s="84">
        <v>103945</v>
      </c>
      <c r="I7" s="84">
        <v>492170</v>
      </c>
      <c r="J7" s="84">
        <v>27510</v>
      </c>
      <c r="K7" s="84">
        <v>195905</v>
      </c>
      <c r="L7" s="84">
        <v>14903</v>
      </c>
      <c r="M7" s="84">
        <v>93586</v>
      </c>
      <c r="N7" s="84"/>
      <c r="O7" s="84"/>
      <c r="P7" s="84">
        <v>6747</v>
      </c>
      <c r="Q7" s="84">
        <v>59824</v>
      </c>
      <c r="R7" s="84">
        <v>36252</v>
      </c>
      <c r="S7" s="84">
        <v>554269</v>
      </c>
      <c r="T7" s="84">
        <v>373537</v>
      </c>
      <c r="U7" s="84">
        <v>2682593</v>
      </c>
      <c r="V7" s="84">
        <v>199309</v>
      </c>
      <c r="W7" s="84">
        <v>1129335</v>
      </c>
      <c r="X7" s="84">
        <v>110836</v>
      </c>
      <c r="Y7" s="84">
        <v>878347</v>
      </c>
      <c r="Z7" s="84">
        <v>46910</v>
      </c>
      <c r="AA7" s="84">
        <v>956948</v>
      </c>
      <c r="AB7" s="84">
        <v>17557</v>
      </c>
      <c r="AC7" s="84">
        <v>38315</v>
      </c>
      <c r="AD7" s="84">
        <v>44103</v>
      </c>
      <c r="AE7" s="84">
        <v>140880</v>
      </c>
      <c r="AF7" s="84">
        <v>46580</v>
      </c>
      <c r="AG7" s="84">
        <v>610375</v>
      </c>
      <c r="AH7" s="84"/>
      <c r="AI7" s="84"/>
      <c r="AJ7" s="84"/>
      <c r="AK7" s="84"/>
      <c r="AL7" s="84">
        <v>505910.49460320815</v>
      </c>
      <c r="AM7" s="84">
        <v>1294652.1459857081</v>
      </c>
      <c r="AN7" s="84">
        <v>850</v>
      </c>
      <c r="AO7" s="84">
        <v>4362</v>
      </c>
      <c r="AP7" s="84">
        <v>37499</v>
      </c>
      <c r="AQ7" s="84">
        <v>76902</v>
      </c>
      <c r="AR7" s="84">
        <v>177902</v>
      </c>
      <c r="AS7" s="84">
        <v>890707</v>
      </c>
      <c r="AT7" s="84"/>
      <c r="AU7" s="84"/>
      <c r="AV7" s="84">
        <v>73751</v>
      </c>
      <c r="AW7" s="84">
        <v>536706</v>
      </c>
      <c r="AX7" s="84">
        <v>11492</v>
      </c>
      <c r="AY7" s="84">
        <v>34765</v>
      </c>
      <c r="AZ7" s="84">
        <v>6766</v>
      </c>
      <c r="BA7" s="84">
        <v>48068</v>
      </c>
      <c r="BB7" s="84"/>
      <c r="BC7" s="84"/>
      <c r="BD7" s="103">
        <v>227204</v>
      </c>
      <c r="BE7" s="103">
        <v>1085395</v>
      </c>
      <c r="BF7" s="84">
        <v>3314446</v>
      </c>
      <c r="BG7" s="84">
        <v>11497677</v>
      </c>
      <c r="BH7" s="103">
        <v>192215</v>
      </c>
      <c r="BI7" s="103">
        <v>978578</v>
      </c>
      <c r="BJ7" s="103">
        <v>209536</v>
      </c>
      <c r="BK7" s="103">
        <v>880550</v>
      </c>
      <c r="BL7" s="103">
        <v>4253</v>
      </c>
      <c r="BM7" s="103">
        <v>28910</v>
      </c>
      <c r="BN7" s="73">
        <f t="shared" si="0"/>
        <v>5790013.4946032083</v>
      </c>
      <c r="BO7" s="73">
        <f t="shared" si="1"/>
        <v>25189819.145985708</v>
      </c>
    </row>
    <row r="8" spans="1:67" x14ac:dyDescent="0.25">
      <c r="A8" s="84" t="s">
        <v>275</v>
      </c>
      <c r="B8" s="84">
        <v>5</v>
      </c>
      <c r="C8" s="84">
        <v>7</v>
      </c>
      <c r="D8" s="84"/>
      <c r="E8" s="84"/>
      <c r="F8" s="84"/>
      <c r="G8" s="84"/>
      <c r="H8" s="84">
        <v>3560210</v>
      </c>
      <c r="I8" s="84">
        <v>14267366</v>
      </c>
      <c r="J8" s="84">
        <v>588836</v>
      </c>
      <c r="K8" s="84">
        <v>2808654</v>
      </c>
      <c r="L8" s="84">
        <v>663485</v>
      </c>
      <c r="M8" s="84">
        <v>2687615</v>
      </c>
      <c r="N8" s="84"/>
      <c r="O8" s="84"/>
      <c r="P8" s="84">
        <v>33977</v>
      </c>
      <c r="Q8" s="84">
        <v>144490</v>
      </c>
      <c r="R8" s="84">
        <v>653407</v>
      </c>
      <c r="S8" s="84">
        <v>3406750</v>
      </c>
      <c r="T8" s="84">
        <v>567965</v>
      </c>
      <c r="U8" s="84">
        <v>3801679</v>
      </c>
      <c r="V8" s="84">
        <v>-1933144</v>
      </c>
      <c r="W8" s="84">
        <v>-9657290</v>
      </c>
      <c r="X8" s="84">
        <v>3208595</v>
      </c>
      <c r="Y8" s="84">
        <v>16582818</v>
      </c>
      <c r="Z8" s="84">
        <v>1354320</v>
      </c>
      <c r="AA8" s="84">
        <v>8367666</v>
      </c>
      <c r="AB8" s="84">
        <v>86032</v>
      </c>
      <c r="AC8" s="84">
        <v>222457</v>
      </c>
      <c r="AD8" s="84">
        <v>240109</v>
      </c>
      <c r="AE8" s="84">
        <v>938072</v>
      </c>
      <c r="AF8" s="84">
        <v>-635584</v>
      </c>
      <c r="AG8" s="84">
        <v>-1676949</v>
      </c>
      <c r="AH8" s="84"/>
      <c r="AI8" s="84"/>
      <c r="AJ8" s="84"/>
      <c r="AK8" s="84"/>
      <c r="AL8" s="84">
        <v>743564.33417953365</v>
      </c>
      <c r="AM8" s="84">
        <v>4773441.8878737865</v>
      </c>
      <c r="AN8" s="84">
        <v>-20027</v>
      </c>
      <c r="AO8" s="84">
        <v>-24774</v>
      </c>
      <c r="AP8" s="84">
        <v>57107</v>
      </c>
      <c r="AQ8" s="84">
        <v>147769</v>
      </c>
      <c r="AR8" s="84">
        <v>911442</v>
      </c>
      <c r="AS8" s="84">
        <v>6882711</v>
      </c>
      <c r="AT8" s="84"/>
      <c r="AU8" s="84"/>
      <c r="AV8" s="84">
        <v>-538241</v>
      </c>
      <c r="AW8" s="84">
        <v>-2741376</v>
      </c>
      <c r="AX8" s="84">
        <v>3035610</v>
      </c>
      <c r="AY8" s="84">
        <v>10144390</v>
      </c>
      <c r="AZ8" s="84">
        <v>31751</v>
      </c>
      <c r="BA8" s="84">
        <v>185114</v>
      </c>
      <c r="BB8" s="84"/>
      <c r="BC8" s="84"/>
      <c r="BD8" s="103">
        <v>2349939</v>
      </c>
      <c r="BE8" s="103">
        <v>11443755</v>
      </c>
      <c r="BF8" s="84">
        <v>5169526</v>
      </c>
      <c r="BG8" s="84">
        <v>28063554</v>
      </c>
      <c r="BH8" s="103">
        <v>2079756</v>
      </c>
      <c r="BI8" s="103">
        <v>10787616</v>
      </c>
      <c r="BJ8" s="103">
        <v>2777636</v>
      </c>
      <c r="BK8" s="103">
        <v>9829211</v>
      </c>
      <c r="BL8" s="103">
        <v>140934</v>
      </c>
      <c r="BM8" s="103">
        <v>1413053</v>
      </c>
      <c r="BN8" s="73">
        <f t="shared" si="0"/>
        <v>25127210.334179536</v>
      </c>
      <c r="BO8" s="73">
        <f t="shared" si="1"/>
        <v>122797799.88787378</v>
      </c>
    </row>
    <row r="9" spans="1:67" x14ac:dyDescent="0.25">
      <c r="A9" s="84" t="s">
        <v>229</v>
      </c>
      <c r="B9" s="84">
        <v>103</v>
      </c>
      <c r="C9" s="84">
        <v>135</v>
      </c>
      <c r="D9" s="84"/>
      <c r="E9" s="84"/>
      <c r="F9" s="84"/>
      <c r="G9" s="84"/>
      <c r="H9" s="84">
        <v>844833</v>
      </c>
      <c r="I9" s="84">
        <v>2790302</v>
      </c>
      <c r="J9" s="84">
        <v>164146</v>
      </c>
      <c r="K9" s="84">
        <v>629403</v>
      </c>
      <c r="L9" s="84">
        <v>670872</v>
      </c>
      <c r="M9" s="84">
        <v>1853078</v>
      </c>
      <c r="N9" s="84"/>
      <c r="O9" s="84"/>
      <c r="P9" s="84">
        <v>5463</v>
      </c>
      <c r="Q9" s="84">
        <v>24228</v>
      </c>
      <c r="R9" s="84">
        <v>284211</v>
      </c>
      <c r="S9" s="84">
        <v>1585481</v>
      </c>
      <c r="T9" s="84">
        <v>108055</v>
      </c>
      <c r="U9" s="84">
        <v>502579</v>
      </c>
      <c r="V9" s="84">
        <v>789360</v>
      </c>
      <c r="W9" s="84">
        <v>3223239</v>
      </c>
      <c r="X9" s="84">
        <v>1004079</v>
      </c>
      <c r="Y9" s="84">
        <v>5873410</v>
      </c>
      <c r="Z9" s="84">
        <v>155579</v>
      </c>
      <c r="AA9" s="84">
        <v>738863</v>
      </c>
      <c r="AB9" s="84">
        <v>51195</v>
      </c>
      <c r="AC9" s="84">
        <v>170559</v>
      </c>
      <c r="AD9" s="84">
        <v>62547</v>
      </c>
      <c r="AE9" s="84">
        <v>181786</v>
      </c>
      <c r="AF9" s="84">
        <v>143695</v>
      </c>
      <c r="AG9" s="84">
        <v>378416</v>
      </c>
      <c r="AH9" s="84"/>
      <c r="AI9" s="84"/>
      <c r="AJ9" s="84"/>
      <c r="AK9" s="84"/>
      <c r="AL9" s="84">
        <v>2232126.5189157287</v>
      </c>
      <c r="AM9" s="84">
        <v>8469255.9635841325</v>
      </c>
      <c r="AN9" s="84">
        <v>134421</v>
      </c>
      <c r="AO9" s="84">
        <v>286396</v>
      </c>
      <c r="AP9" s="84">
        <v>13779</v>
      </c>
      <c r="AQ9" s="84">
        <v>47009</v>
      </c>
      <c r="AR9" s="84">
        <v>610640</v>
      </c>
      <c r="AS9" s="84">
        <v>2751338</v>
      </c>
      <c r="AT9" s="84"/>
      <c r="AU9" s="84"/>
      <c r="AV9" s="84">
        <v>112221</v>
      </c>
      <c r="AW9" s="84">
        <v>521258</v>
      </c>
      <c r="AX9" s="84">
        <v>1227920</v>
      </c>
      <c r="AY9" s="84">
        <v>4004751</v>
      </c>
      <c r="AZ9" s="84">
        <v>85162</v>
      </c>
      <c r="BA9" s="84">
        <v>259282</v>
      </c>
      <c r="BB9" s="84"/>
      <c r="BC9" s="84"/>
      <c r="BD9" s="103">
        <v>1062965</v>
      </c>
      <c r="BE9" s="103">
        <v>3980633</v>
      </c>
      <c r="BF9" s="84">
        <v>8237233</v>
      </c>
      <c r="BG9" s="84">
        <v>30720081</v>
      </c>
      <c r="BH9" s="103">
        <v>1377796</v>
      </c>
      <c r="BI9" s="103">
        <v>7495442</v>
      </c>
      <c r="BJ9" s="103">
        <v>1658779</v>
      </c>
      <c r="BK9" s="103">
        <v>8834141</v>
      </c>
      <c r="BL9" s="103">
        <v>159024</v>
      </c>
      <c r="BM9" s="103">
        <v>564635</v>
      </c>
      <c r="BN9" s="73">
        <f t="shared" si="0"/>
        <v>21196204.518915728</v>
      </c>
      <c r="BO9" s="73">
        <f t="shared" si="1"/>
        <v>85885700.963584125</v>
      </c>
    </row>
    <row r="10" spans="1:67" x14ac:dyDescent="0.25">
      <c r="A10" s="84" t="s">
        <v>230</v>
      </c>
      <c r="B10" s="84">
        <v>42</v>
      </c>
      <c r="C10" s="84">
        <v>49</v>
      </c>
      <c r="D10" s="84"/>
      <c r="E10" s="84"/>
      <c r="F10" s="84"/>
      <c r="G10" s="84"/>
      <c r="H10" s="84">
        <v>640095</v>
      </c>
      <c r="I10" s="84">
        <v>2691988</v>
      </c>
      <c r="J10" s="84">
        <v>151674</v>
      </c>
      <c r="K10" s="84">
        <v>487194</v>
      </c>
      <c r="L10" s="84">
        <v>375160</v>
      </c>
      <c r="M10" s="84">
        <v>1231884</v>
      </c>
      <c r="N10" s="84"/>
      <c r="O10" s="84"/>
      <c r="P10" s="84">
        <v>4316</v>
      </c>
      <c r="Q10" s="84">
        <v>17562</v>
      </c>
      <c r="R10" s="84">
        <v>409056</v>
      </c>
      <c r="S10" s="84">
        <v>1312085</v>
      </c>
      <c r="T10" s="84">
        <v>107404</v>
      </c>
      <c r="U10" s="84">
        <v>373421</v>
      </c>
      <c r="V10" s="84">
        <v>652445</v>
      </c>
      <c r="W10" s="84">
        <v>2401067</v>
      </c>
      <c r="X10" s="84">
        <v>1259671</v>
      </c>
      <c r="Y10" s="84">
        <v>4813392</v>
      </c>
      <c r="Z10" s="84">
        <v>239308</v>
      </c>
      <c r="AA10" s="84">
        <v>831674</v>
      </c>
      <c r="AB10" s="84">
        <v>21842</v>
      </c>
      <c r="AC10" s="84">
        <v>86751</v>
      </c>
      <c r="AD10" s="84">
        <v>45963</v>
      </c>
      <c r="AE10" s="84">
        <v>181063</v>
      </c>
      <c r="AF10" s="84">
        <v>84331</v>
      </c>
      <c r="AG10" s="84">
        <v>208340</v>
      </c>
      <c r="AH10" s="84"/>
      <c r="AI10" s="84"/>
      <c r="AJ10" s="84"/>
      <c r="AK10" s="84"/>
      <c r="AL10" s="84">
        <v>2188088.1279157288</v>
      </c>
      <c r="AM10" s="84">
        <v>7819960.6335841324</v>
      </c>
      <c r="AN10" s="84">
        <v>10075</v>
      </c>
      <c r="AO10" s="84">
        <v>61628</v>
      </c>
      <c r="AP10" s="84">
        <v>11096</v>
      </c>
      <c r="AQ10" s="84">
        <v>30498</v>
      </c>
      <c r="AR10" s="84">
        <v>747514</v>
      </c>
      <c r="AS10" s="84">
        <v>2436483</v>
      </c>
      <c r="AT10" s="84"/>
      <c r="AU10" s="84"/>
      <c r="AV10" s="84">
        <v>155335</v>
      </c>
      <c r="AW10" s="84">
        <v>550965</v>
      </c>
      <c r="AX10" s="84">
        <v>779991</v>
      </c>
      <c r="AY10" s="84">
        <v>2819720</v>
      </c>
      <c r="AZ10" s="84">
        <v>49530</v>
      </c>
      <c r="BA10" s="84">
        <v>186119</v>
      </c>
      <c r="BB10" s="84"/>
      <c r="BC10" s="84"/>
      <c r="BD10" s="103">
        <v>777344</v>
      </c>
      <c r="BE10" s="103">
        <v>2443008</v>
      </c>
      <c r="BF10" s="84">
        <v>8417501</v>
      </c>
      <c r="BG10" s="84">
        <v>30158900</v>
      </c>
      <c r="BH10" s="103">
        <v>1532598</v>
      </c>
      <c r="BI10" s="103">
        <v>7358823</v>
      </c>
      <c r="BJ10" s="103">
        <v>1734961</v>
      </c>
      <c r="BK10" s="103">
        <v>8854589</v>
      </c>
      <c r="BL10" s="103">
        <v>144871</v>
      </c>
      <c r="BM10" s="103">
        <v>562721</v>
      </c>
      <c r="BN10" s="73">
        <f t="shared" si="0"/>
        <v>20540211.127915729</v>
      </c>
      <c r="BO10" s="73">
        <f t="shared" si="1"/>
        <v>77919884.633584142</v>
      </c>
    </row>
    <row r="12" spans="1:67" x14ac:dyDescent="0.25">
      <c r="A12" s="24" t="s">
        <v>217</v>
      </c>
    </row>
    <row r="13" spans="1:67" x14ac:dyDescent="0.25">
      <c r="A13" s="1" t="s">
        <v>0</v>
      </c>
      <c r="B13" s="119" t="s">
        <v>1</v>
      </c>
      <c r="C13" s="120"/>
      <c r="D13" s="119" t="s">
        <v>282</v>
      </c>
      <c r="E13" s="120"/>
      <c r="F13" s="119" t="s">
        <v>2</v>
      </c>
      <c r="G13" s="120"/>
      <c r="H13" s="119" t="s">
        <v>3</v>
      </c>
      <c r="I13" s="120"/>
      <c r="J13" s="119" t="s">
        <v>4</v>
      </c>
      <c r="K13" s="120"/>
      <c r="L13" s="119" t="s">
        <v>283</v>
      </c>
      <c r="M13" s="120"/>
      <c r="N13" s="119" t="s">
        <v>6</v>
      </c>
      <c r="O13" s="120"/>
      <c r="P13" s="119" t="s">
        <v>5</v>
      </c>
      <c r="Q13" s="120"/>
      <c r="R13" s="119" t="s">
        <v>7</v>
      </c>
      <c r="S13" s="120"/>
      <c r="T13" s="119" t="s">
        <v>284</v>
      </c>
      <c r="U13" s="120"/>
      <c r="V13" s="119" t="s">
        <v>8</v>
      </c>
      <c r="W13" s="120"/>
      <c r="X13" s="119" t="s">
        <v>9</v>
      </c>
      <c r="Y13" s="120"/>
      <c r="Z13" s="119" t="s">
        <v>10</v>
      </c>
      <c r="AA13" s="120"/>
      <c r="AB13" s="119" t="s">
        <v>293</v>
      </c>
      <c r="AC13" s="120"/>
      <c r="AD13" s="119" t="s">
        <v>11</v>
      </c>
      <c r="AE13" s="120"/>
      <c r="AF13" s="119" t="s">
        <v>12</v>
      </c>
      <c r="AG13" s="120"/>
      <c r="AH13" s="119" t="s">
        <v>285</v>
      </c>
      <c r="AI13" s="120"/>
      <c r="AJ13" s="119" t="s">
        <v>290</v>
      </c>
      <c r="AK13" s="120"/>
      <c r="AL13" s="119" t="s">
        <v>13</v>
      </c>
      <c r="AM13" s="120"/>
      <c r="AN13" s="119" t="s">
        <v>286</v>
      </c>
      <c r="AO13" s="120"/>
      <c r="AP13" s="119" t="s">
        <v>287</v>
      </c>
      <c r="AQ13" s="120"/>
      <c r="AR13" s="119" t="s">
        <v>291</v>
      </c>
      <c r="AS13" s="120"/>
      <c r="AT13" s="119" t="s">
        <v>294</v>
      </c>
      <c r="AU13" s="120"/>
      <c r="AV13" s="119" t="s">
        <v>14</v>
      </c>
      <c r="AW13" s="120"/>
      <c r="AX13" s="119" t="s">
        <v>15</v>
      </c>
      <c r="AY13" s="120"/>
      <c r="AZ13" s="119" t="s">
        <v>16</v>
      </c>
      <c r="BA13" s="120"/>
      <c r="BB13" s="119" t="s">
        <v>17</v>
      </c>
      <c r="BC13" s="120"/>
      <c r="BD13" s="119" t="s">
        <v>18</v>
      </c>
      <c r="BE13" s="120"/>
      <c r="BF13" s="119" t="s">
        <v>288</v>
      </c>
      <c r="BG13" s="120"/>
      <c r="BH13" s="119" t="s">
        <v>289</v>
      </c>
      <c r="BI13" s="120"/>
      <c r="BJ13" s="119" t="s">
        <v>19</v>
      </c>
      <c r="BK13" s="120"/>
      <c r="BL13" s="119" t="s">
        <v>20</v>
      </c>
      <c r="BM13" s="120"/>
      <c r="BN13" s="121" t="s">
        <v>21</v>
      </c>
      <c r="BO13" s="122"/>
    </row>
    <row r="14" spans="1:67" ht="30" x14ac:dyDescent="0.25">
      <c r="A14" s="1"/>
      <c r="B14" s="57" t="s">
        <v>296</v>
      </c>
      <c r="C14" s="58" t="s">
        <v>297</v>
      </c>
      <c r="D14" s="57" t="s">
        <v>296</v>
      </c>
      <c r="E14" s="58" t="s">
        <v>297</v>
      </c>
      <c r="F14" s="57" t="s">
        <v>296</v>
      </c>
      <c r="G14" s="58" t="s">
        <v>297</v>
      </c>
      <c r="H14" s="57" t="s">
        <v>296</v>
      </c>
      <c r="I14" s="58" t="s">
        <v>297</v>
      </c>
      <c r="J14" s="57" t="s">
        <v>296</v>
      </c>
      <c r="K14" s="58" t="s">
        <v>297</v>
      </c>
      <c r="L14" s="57" t="s">
        <v>296</v>
      </c>
      <c r="M14" s="58" t="s">
        <v>297</v>
      </c>
      <c r="N14" s="57" t="s">
        <v>296</v>
      </c>
      <c r="O14" s="58" t="s">
        <v>297</v>
      </c>
      <c r="P14" s="57" t="s">
        <v>296</v>
      </c>
      <c r="Q14" s="58" t="s">
        <v>297</v>
      </c>
      <c r="R14" s="57" t="s">
        <v>296</v>
      </c>
      <c r="S14" s="58" t="s">
        <v>297</v>
      </c>
      <c r="T14" s="57" t="s">
        <v>296</v>
      </c>
      <c r="U14" s="58" t="s">
        <v>297</v>
      </c>
      <c r="V14" s="57" t="s">
        <v>296</v>
      </c>
      <c r="W14" s="58" t="s">
        <v>297</v>
      </c>
      <c r="X14" s="57" t="s">
        <v>296</v>
      </c>
      <c r="Y14" s="58" t="s">
        <v>297</v>
      </c>
      <c r="Z14" s="57" t="s">
        <v>296</v>
      </c>
      <c r="AA14" s="58" t="s">
        <v>297</v>
      </c>
      <c r="AB14" s="57" t="s">
        <v>296</v>
      </c>
      <c r="AC14" s="58" t="s">
        <v>297</v>
      </c>
      <c r="AD14" s="57" t="s">
        <v>296</v>
      </c>
      <c r="AE14" s="58" t="s">
        <v>297</v>
      </c>
      <c r="AF14" s="57" t="s">
        <v>296</v>
      </c>
      <c r="AG14" s="58" t="s">
        <v>297</v>
      </c>
      <c r="AH14" s="57" t="s">
        <v>296</v>
      </c>
      <c r="AI14" s="58" t="s">
        <v>297</v>
      </c>
      <c r="AJ14" s="57" t="s">
        <v>296</v>
      </c>
      <c r="AK14" s="58" t="s">
        <v>297</v>
      </c>
      <c r="AL14" s="57" t="s">
        <v>296</v>
      </c>
      <c r="AM14" s="58" t="s">
        <v>297</v>
      </c>
      <c r="AN14" s="57" t="s">
        <v>296</v>
      </c>
      <c r="AO14" s="58" t="s">
        <v>297</v>
      </c>
      <c r="AP14" s="57" t="s">
        <v>296</v>
      </c>
      <c r="AQ14" s="58" t="s">
        <v>297</v>
      </c>
      <c r="AR14" s="57" t="s">
        <v>296</v>
      </c>
      <c r="AS14" s="58" t="s">
        <v>297</v>
      </c>
      <c r="AT14" s="57" t="s">
        <v>296</v>
      </c>
      <c r="AU14" s="58" t="s">
        <v>297</v>
      </c>
      <c r="AV14" s="57" t="s">
        <v>296</v>
      </c>
      <c r="AW14" s="58" t="s">
        <v>297</v>
      </c>
      <c r="AX14" s="57" t="s">
        <v>296</v>
      </c>
      <c r="AY14" s="58" t="s">
        <v>297</v>
      </c>
      <c r="AZ14" s="57" t="s">
        <v>296</v>
      </c>
      <c r="BA14" s="58" t="s">
        <v>297</v>
      </c>
      <c r="BB14" s="57" t="s">
        <v>296</v>
      </c>
      <c r="BC14" s="58" t="s">
        <v>297</v>
      </c>
      <c r="BD14" s="57" t="s">
        <v>296</v>
      </c>
      <c r="BE14" s="58" t="s">
        <v>297</v>
      </c>
      <c r="BF14" s="57" t="s">
        <v>296</v>
      </c>
      <c r="BG14" s="58" t="s">
        <v>297</v>
      </c>
      <c r="BH14" s="57" t="s">
        <v>296</v>
      </c>
      <c r="BI14" s="58" t="s">
        <v>297</v>
      </c>
      <c r="BJ14" s="57" t="s">
        <v>296</v>
      </c>
      <c r="BK14" s="58" t="s">
        <v>297</v>
      </c>
      <c r="BL14" s="57" t="s">
        <v>296</v>
      </c>
      <c r="BM14" s="58" t="s">
        <v>297</v>
      </c>
      <c r="BN14" s="57" t="s">
        <v>296</v>
      </c>
      <c r="BO14" s="58" t="s">
        <v>297</v>
      </c>
    </row>
    <row r="15" spans="1:67" x14ac:dyDescent="0.25">
      <c r="A15" s="84" t="s">
        <v>271</v>
      </c>
      <c r="B15" s="84"/>
      <c r="C15" s="84"/>
      <c r="D15" s="84"/>
      <c r="E15" s="84"/>
      <c r="F15" s="84"/>
      <c r="G15" s="84"/>
      <c r="H15" s="84">
        <v>425842</v>
      </c>
      <c r="I15" s="84">
        <v>1663474</v>
      </c>
      <c r="J15" s="84">
        <v>181663</v>
      </c>
      <c r="K15" s="84">
        <v>751227</v>
      </c>
      <c r="L15" s="84">
        <v>265689</v>
      </c>
      <c r="M15" s="84">
        <v>785456</v>
      </c>
      <c r="N15" s="84"/>
      <c r="O15" s="84"/>
      <c r="P15" s="84">
        <v>26400</v>
      </c>
      <c r="Q15" s="84">
        <v>56321</v>
      </c>
      <c r="R15" s="84">
        <v>175063</v>
      </c>
      <c r="S15" s="84">
        <v>637112</v>
      </c>
      <c r="T15" s="84">
        <v>488</v>
      </c>
      <c r="U15" s="84">
        <v>9847</v>
      </c>
      <c r="V15" s="84">
        <f>79864+312693</f>
        <v>392557</v>
      </c>
      <c r="W15" s="84">
        <f>222770+1266089</f>
        <v>1488859</v>
      </c>
      <c r="X15" s="84">
        <v>1332635</v>
      </c>
      <c r="Y15" s="84">
        <v>4787274</v>
      </c>
      <c r="Z15" s="84">
        <v>435383</v>
      </c>
      <c r="AA15" s="84">
        <v>1560124</v>
      </c>
      <c r="AB15" s="84">
        <v>876</v>
      </c>
      <c r="AC15" s="84">
        <v>927</v>
      </c>
      <c r="AD15" s="84">
        <v>93979</v>
      </c>
      <c r="AE15" s="84">
        <v>302403</v>
      </c>
      <c r="AF15" s="84">
        <v>106115</v>
      </c>
      <c r="AG15" s="84">
        <v>214304</v>
      </c>
      <c r="AH15" s="84"/>
      <c r="AI15" s="84"/>
      <c r="AJ15" s="84"/>
      <c r="AK15" s="84"/>
      <c r="AL15" s="84">
        <v>546956.54044532485</v>
      </c>
      <c r="AM15" s="84">
        <v>1990913.9544612737</v>
      </c>
      <c r="AN15" s="84"/>
      <c r="AO15" s="84"/>
      <c r="AP15" s="84">
        <v>-283</v>
      </c>
      <c r="AQ15" s="84">
        <v>2464</v>
      </c>
      <c r="AR15" s="84">
        <v>135454</v>
      </c>
      <c r="AS15" s="84">
        <v>846022</v>
      </c>
      <c r="AT15" s="84"/>
      <c r="AU15" s="84"/>
      <c r="AV15" s="84">
        <v>82932</v>
      </c>
      <c r="AW15" s="84">
        <v>352718</v>
      </c>
      <c r="AX15" s="84">
        <v>86234</v>
      </c>
      <c r="AY15" s="84">
        <v>335925</v>
      </c>
      <c r="AZ15" s="84">
        <v>3027</v>
      </c>
      <c r="BA15" s="84">
        <v>12054</v>
      </c>
      <c r="BB15" s="84"/>
      <c r="BC15" s="84"/>
      <c r="BD15" s="103">
        <v>1071171</v>
      </c>
      <c r="BE15" s="103">
        <v>3462984</v>
      </c>
      <c r="BF15" s="84">
        <v>3370489</v>
      </c>
      <c r="BG15" s="84">
        <v>8898790</v>
      </c>
      <c r="BH15" s="103">
        <v>891373</v>
      </c>
      <c r="BI15" s="103">
        <v>3617896</v>
      </c>
      <c r="BJ15" s="103">
        <v>857889</v>
      </c>
      <c r="BK15" s="103">
        <v>3407015</v>
      </c>
      <c r="BL15" s="103">
        <f>76928+19581</f>
        <v>96509</v>
      </c>
      <c r="BM15" s="103">
        <f>243398+119753</f>
        <v>363151</v>
      </c>
      <c r="BN15" s="73">
        <f t="shared" ref="BN15:BN19" si="2">SUM(B15+D15+F15+H15+J15+L15+N15+P15+R15+T15+V15+X15+Z15+AB15+AD15+AF15+AH15+AJ15+AL15+AN15+AP15+AR15+AT15+AV15+AX15+AZ15+BB15+BD15+BF15+BH15+BJ15+BL15)</f>
        <v>10578441.540445324</v>
      </c>
      <c r="BO15" s="73">
        <f t="shared" ref="BO15:BO19" si="3">SUM(C15+E15+G15+I15+K15+M15+O15+Q15+S15+U15+W15+Y15+AA15+AC15+AE15+AG15+AI15+AK15+AM15+AO15+AQ15+AS15+AU15+AW15+AY15+BA15+BC15+BE15+BG15+BI15+BK15+BM15)</f>
        <v>35547260.954461277</v>
      </c>
    </row>
    <row r="16" spans="1:67" x14ac:dyDescent="0.25">
      <c r="A16" s="84" t="s">
        <v>274</v>
      </c>
      <c r="B16" s="84"/>
      <c r="C16" s="84"/>
      <c r="D16" s="84"/>
      <c r="E16" s="84"/>
      <c r="F16" s="84"/>
      <c r="G16" s="84"/>
      <c r="H16" s="84"/>
      <c r="I16" s="84"/>
      <c r="J16" s="84">
        <v>1990</v>
      </c>
      <c r="K16" s="84">
        <v>16069</v>
      </c>
      <c r="L16" s="84"/>
      <c r="M16" s="84"/>
      <c r="N16" s="84"/>
      <c r="O16" s="84"/>
      <c r="P16" s="84"/>
      <c r="Q16" s="84">
        <v>132</v>
      </c>
      <c r="R16" s="84">
        <v>4720</v>
      </c>
      <c r="S16" s="84">
        <v>24630</v>
      </c>
      <c r="T16" s="84">
        <v>776</v>
      </c>
      <c r="U16" s="84">
        <v>2730</v>
      </c>
      <c r="V16" s="84">
        <v>17560</v>
      </c>
      <c r="W16" s="84">
        <v>79055</v>
      </c>
      <c r="X16" s="84">
        <v>19488</v>
      </c>
      <c r="Y16" s="84">
        <v>134497</v>
      </c>
      <c r="Z16" s="84">
        <v>15546</v>
      </c>
      <c r="AA16" s="84">
        <v>31806</v>
      </c>
      <c r="AB16" s="84"/>
      <c r="AC16" s="84"/>
      <c r="AD16" s="84"/>
      <c r="AE16" s="84"/>
      <c r="AF16" s="84">
        <v>12493</v>
      </c>
      <c r="AG16" s="84">
        <v>30141</v>
      </c>
      <c r="AH16" s="84"/>
      <c r="AI16" s="84"/>
      <c r="AJ16" s="84"/>
      <c r="AK16" s="84"/>
      <c r="AL16" s="84">
        <v>62477.61278000001</v>
      </c>
      <c r="AM16" s="84">
        <v>181075.595</v>
      </c>
      <c r="AN16" s="84"/>
      <c r="AO16" s="84"/>
      <c r="AP16" s="84"/>
      <c r="AQ16" s="84"/>
      <c r="AR16" s="84"/>
      <c r="AS16" s="84">
        <v>13072</v>
      </c>
      <c r="AT16" s="84"/>
      <c r="AU16" s="84"/>
      <c r="AV16" s="84">
        <v>1381</v>
      </c>
      <c r="AW16" s="84">
        <v>5900</v>
      </c>
      <c r="AX16" s="84">
        <v>10918</v>
      </c>
      <c r="AY16" s="84">
        <v>32362</v>
      </c>
      <c r="AZ16" s="84"/>
      <c r="BA16" s="84"/>
      <c r="BB16" s="84"/>
      <c r="BC16" s="84"/>
      <c r="BD16" s="103">
        <v>152642</v>
      </c>
      <c r="BE16" s="103">
        <v>447368</v>
      </c>
      <c r="BF16" s="84">
        <v>91554</v>
      </c>
      <c r="BG16" s="84">
        <v>506050</v>
      </c>
      <c r="BH16" s="103">
        <v>7451</v>
      </c>
      <c r="BI16" s="103">
        <v>50921</v>
      </c>
      <c r="BJ16" s="103">
        <v>2258</v>
      </c>
      <c r="BK16" s="103">
        <v>116025</v>
      </c>
      <c r="BL16" s="103"/>
      <c r="BM16" s="103"/>
      <c r="BN16" s="73">
        <f t="shared" si="2"/>
        <v>401254.61278000002</v>
      </c>
      <c r="BO16" s="73">
        <f t="shared" si="3"/>
        <v>1671833.595</v>
      </c>
    </row>
    <row r="17" spans="1:67" x14ac:dyDescent="0.25">
      <c r="A17" s="84" t="s">
        <v>275</v>
      </c>
      <c r="B17" s="84"/>
      <c r="C17" s="84"/>
      <c r="D17" s="84"/>
      <c r="E17" s="84"/>
      <c r="F17" s="84"/>
      <c r="G17" s="84"/>
      <c r="H17" s="84">
        <v>159924</v>
      </c>
      <c r="I17" s="84">
        <v>584250</v>
      </c>
      <c r="J17" s="84">
        <v>89278</v>
      </c>
      <c r="K17" s="84">
        <v>324958</v>
      </c>
      <c r="L17" s="84">
        <v>171379</v>
      </c>
      <c r="M17" s="84">
        <v>493680</v>
      </c>
      <c r="N17" s="84"/>
      <c r="O17" s="84"/>
      <c r="P17" s="84">
        <v>25894</v>
      </c>
      <c r="Q17" s="84">
        <v>55067</v>
      </c>
      <c r="R17" s="84">
        <v>67806</v>
      </c>
      <c r="S17" s="84">
        <v>147576</v>
      </c>
      <c r="T17" s="84">
        <v>-1459</v>
      </c>
      <c r="U17" s="84">
        <v>101</v>
      </c>
      <c r="V17" s="84">
        <f>-79689-65286</f>
        <v>-144975</v>
      </c>
      <c r="W17" s="84">
        <f>-222161-416935</f>
        <v>-639096</v>
      </c>
      <c r="X17" s="84">
        <v>730622</v>
      </c>
      <c r="Y17" s="84">
        <v>2270184</v>
      </c>
      <c r="Z17" s="84">
        <v>259103</v>
      </c>
      <c r="AA17" s="84">
        <v>805400</v>
      </c>
      <c r="AB17" s="84">
        <v>727</v>
      </c>
      <c r="AC17" s="84">
        <v>770</v>
      </c>
      <c r="AD17" s="84">
        <v>5105</v>
      </c>
      <c r="AE17" s="84">
        <v>47908</v>
      </c>
      <c r="AF17" s="84">
        <v>-115896</v>
      </c>
      <c r="AG17" s="84">
        <v>-239462</v>
      </c>
      <c r="AH17" s="84"/>
      <c r="AI17" s="84"/>
      <c r="AJ17" s="84"/>
      <c r="AK17" s="84"/>
      <c r="AL17" s="84">
        <v>236320.67786604483</v>
      </c>
      <c r="AM17" s="84">
        <v>890087.82992162695</v>
      </c>
      <c r="AN17" s="84"/>
      <c r="AO17" s="84"/>
      <c r="AP17" s="84">
        <v>-334</v>
      </c>
      <c r="AQ17" s="84">
        <v>358</v>
      </c>
      <c r="AR17" s="84">
        <v>109973</v>
      </c>
      <c r="AS17" s="84">
        <v>736707</v>
      </c>
      <c r="AT17" s="84"/>
      <c r="AU17" s="84"/>
      <c r="AV17" s="84">
        <v>-38610</v>
      </c>
      <c r="AW17" s="84">
        <v>-169313</v>
      </c>
      <c r="AX17" s="84">
        <v>17927</v>
      </c>
      <c r="AY17" s="84">
        <v>87351</v>
      </c>
      <c r="AZ17" s="84">
        <v>1416</v>
      </c>
      <c r="BA17" s="84">
        <v>4195</v>
      </c>
      <c r="BB17" s="84"/>
      <c r="BC17" s="84"/>
      <c r="BD17" s="103">
        <v>251805</v>
      </c>
      <c r="BE17" s="103">
        <v>669370</v>
      </c>
      <c r="BF17" s="84">
        <v>2325855</v>
      </c>
      <c r="BG17" s="84">
        <v>5097013</v>
      </c>
      <c r="BH17" s="103">
        <v>397122</v>
      </c>
      <c r="BI17" s="103">
        <v>1679035</v>
      </c>
      <c r="BJ17" s="103">
        <v>394397</v>
      </c>
      <c r="BK17" s="103">
        <v>1612142</v>
      </c>
      <c r="BL17" s="103">
        <f>76190+13186</f>
        <v>89376</v>
      </c>
      <c r="BM17" s="103">
        <f>240175+87993</f>
        <v>328168</v>
      </c>
      <c r="BN17" s="73">
        <f t="shared" si="2"/>
        <v>5032755.6778660454</v>
      </c>
      <c r="BO17" s="73">
        <f t="shared" si="3"/>
        <v>14786449.829921627</v>
      </c>
    </row>
    <row r="18" spans="1:67" x14ac:dyDescent="0.25">
      <c r="A18" s="84" t="s">
        <v>229</v>
      </c>
      <c r="B18" s="84"/>
      <c r="C18" s="84"/>
      <c r="D18" s="84"/>
      <c r="E18" s="84"/>
      <c r="F18" s="84"/>
      <c r="G18" s="84"/>
      <c r="H18" s="84">
        <v>265918</v>
      </c>
      <c r="I18" s="84">
        <v>1079224</v>
      </c>
      <c r="J18" s="84">
        <v>94375</v>
      </c>
      <c r="K18" s="84">
        <v>442338</v>
      </c>
      <c r="L18" s="84">
        <v>94310</v>
      </c>
      <c r="M18" s="84">
        <v>291776</v>
      </c>
      <c r="N18" s="84"/>
      <c r="O18" s="84"/>
      <c r="P18" s="84">
        <v>506</v>
      </c>
      <c r="Q18" s="84">
        <v>1386</v>
      </c>
      <c r="R18" s="84">
        <v>111977</v>
      </c>
      <c r="S18" s="84">
        <v>514165</v>
      </c>
      <c r="T18" s="84">
        <v>2723</v>
      </c>
      <c r="U18" s="84">
        <v>12476</v>
      </c>
      <c r="V18" s="84">
        <f>174+264967</f>
        <v>265141</v>
      </c>
      <c r="W18" s="84">
        <f>609+928209</f>
        <v>928818</v>
      </c>
      <c r="X18" s="84">
        <v>621501</v>
      </c>
      <c r="Y18" s="84">
        <v>2651587</v>
      </c>
      <c r="Z18" s="84">
        <v>191826</v>
      </c>
      <c r="AA18" s="84">
        <v>786530</v>
      </c>
      <c r="AB18" s="84">
        <v>149</v>
      </c>
      <c r="AC18" s="84">
        <v>157</v>
      </c>
      <c r="AD18" s="84">
        <v>88874</v>
      </c>
      <c r="AE18" s="84">
        <v>254495</v>
      </c>
      <c r="AF18" s="84">
        <v>2712</v>
      </c>
      <c r="AG18" s="84">
        <v>4983</v>
      </c>
      <c r="AH18" s="84"/>
      <c r="AI18" s="84"/>
      <c r="AJ18" s="84"/>
      <c r="AK18" s="84"/>
      <c r="AL18" s="84">
        <v>373113.47535928001</v>
      </c>
      <c r="AM18" s="84">
        <v>1281901.719539647</v>
      </c>
      <c r="AN18" s="84"/>
      <c r="AO18" s="84"/>
      <c r="AP18" s="84">
        <v>51</v>
      </c>
      <c r="AQ18" s="84">
        <v>2106</v>
      </c>
      <c r="AR18" s="84">
        <v>25481</v>
      </c>
      <c r="AS18" s="84">
        <v>122387</v>
      </c>
      <c r="AT18" s="84"/>
      <c r="AU18" s="84"/>
      <c r="AV18" s="84">
        <v>45703</v>
      </c>
      <c r="AW18" s="84">
        <v>189305</v>
      </c>
      <c r="AX18" s="84">
        <v>79225</v>
      </c>
      <c r="AY18" s="84">
        <v>280936</v>
      </c>
      <c r="AZ18" s="84">
        <v>1611</v>
      </c>
      <c r="BA18" s="84">
        <v>7859</v>
      </c>
      <c r="BB18" s="84"/>
      <c r="BC18" s="84"/>
      <c r="BD18" s="103">
        <v>972008</v>
      </c>
      <c r="BE18" s="103">
        <v>3240982</v>
      </c>
      <c r="BF18" s="84">
        <v>1136188</v>
      </c>
      <c r="BG18" s="84">
        <v>4307827</v>
      </c>
      <c r="BH18" s="103">
        <v>501702</v>
      </c>
      <c r="BI18" s="103">
        <v>1989782</v>
      </c>
      <c r="BJ18" s="103">
        <v>465750</v>
      </c>
      <c r="BK18" s="103">
        <v>1910898</v>
      </c>
      <c r="BL18" s="103">
        <f>738+6395</f>
        <v>7133</v>
      </c>
      <c r="BM18" s="103">
        <f>3223+31760</f>
        <v>34983</v>
      </c>
      <c r="BN18" s="73">
        <f t="shared" si="2"/>
        <v>5347977.4753592797</v>
      </c>
      <c r="BO18" s="73">
        <f t="shared" si="3"/>
        <v>20336901.719539646</v>
      </c>
    </row>
    <row r="19" spans="1:67" x14ac:dyDescent="0.25">
      <c r="A19" s="84" t="s">
        <v>230</v>
      </c>
      <c r="B19" s="84"/>
      <c r="C19" s="84"/>
      <c r="D19" s="84"/>
      <c r="E19" s="84"/>
      <c r="F19" s="84"/>
      <c r="G19" s="84"/>
      <c r="H19" s="84">
        <v>293366</v>
      </c>
      <c r="I19" s="84">
        <v>1068110</v>
      </c>
      <c r="J19" s="84">
        <v>120466</v>
      </c>
      <c r="K19" s="84">
        <v>456986</v>
      </c>
      <c r="L19" s="84">
        <v>82897</v>
      </c>
      <c r="M19" s="84">
        <v>252231</v>
      </c>
      <c r="N19" s="84"/>
      <c r="O19" s="84"/>
      <c r="P19" s="84">
        <v>-102</v>
      </c>
      <c r="Q19" s="84">
        <v>318</v>
      </c>
      <c r="R19" s="84">
        <v>123860</v>
      </c>
      <c r="S19" s="84">
        <v>492220</v>
      </c>
      <c r="T19" s="84">
        <v>4328</v>
      </c>
      <c r="U19" s="84">
        <v>8756</v>
      </c>
      <c r="V19" s="84">
        <f>51+291929</f>
        <v>291980</v>
      </c>
      <c r="W19" s="84">
        <f>762+796803</f>
        <v>797565</v>
      </c>
      <c r="X19" s="84">
        <v>728752</v>
      </c>
      <c r="Y19" s="84">
        <v>2601528</v>
      </c>
      <c r="Z19" s="84">
        <v>218234</v>
      </c>
      <c r="AA19" s="84">
        <v>755364</v>
      </c>
      <c r="AB19" s="84"/>
      <c r="AC19" s="84">
        <v>-2</v>
      </c>
      <c r="AD19" s="84">
        <v>81118</v>
      </c>
      <c r="AE19" s="84">
        <v>226428</v>
      </c>
      <c r="AF19" s="84">
        <v>2231</v>
      </c>
      <c r="AG19" s="84">
        <v>8185</v>
      </c>
      <c r="AH19" s="84"/>
      <c r="AI19" s="84"/>
      <c r="AJ19" s="84"/>
      <c r="AK19" s="84"/>
      <c r="AL19" s="84">
        <v>277748.04121927998</v>
      </c>
      <c r="AM19" s="84">
        <v>1285420.5935396471</v>
      </c>
      <c r="AN19" s="84"/>
      <c r="AO19" s="84"/>
      <c r="AP19" s="84">
        <v>421</v>
      </c>
      <c r="AQ19" s="84">
        <v>2104</v>
      </c>
      <c r="AR19" s="84">
        <v>-26427</v>
      </c>
      <c r="AS19" s="84">
        <v>108235</v>
      </c>
      <c r="AT19" s="84"/>
      <c r="AU19" s="84"/>
      <c r="AV19" s="84">
        <v>47449</v>
      </c>
      <c r="AW19" s="84">
        <v>196551</v>
      </c>
      <c r="AX19" s="84">
        <v>82238</v>
      </c>
      <c r="AY19" s="84">
        <v>232630</v>
      </c>
      <c r="AZ19" s="84">
        <v>1688</v>
      </c>
      <c r="BA19" s="84">
        <v>7242</v>
      </c>
      <c r="BB19" s="84"/>
      <c r="BC19" s="84"/>
      <c r="BD19" s="103">
        <v>884706</v>
      </c>
      <c r="BE19" s="103">
        <v>2972855</v>
      </c>
      <c r="BF19" s="84">
        <v>1065871</v>
      </c>
      <c r="BG19" s="84">
        <v>4205970</v>
      </c>
      <c r="BH19" s="103">
        <v>472237</v>
      </c>
      <c r="BI19" s="103">
        <v>2029232</v>
      </c>
      <c r="BJ19" s="103">
        <v>430145</v>
      </c>
      <c r="BK19" s="103">
        <v>1964017</v>
      </c>
      <c r="BL19" s="103">
        <f>1044+8647</f>
        <v>9691</v>
      </c>
      <c r="BM19" s="103">
        <f>4062+33281</f>
        <v>37343</v>
      </c>
      <c r="BN19" s="73">
        <f t="shared" si="2"/>
        <v>5192897.0412192801</v>
      </c>
      <c r="BO19" s="73">
        <f t="shared" si="3"/>
        <v>19709288.593539648</v>
      </c>
    </row>
    <row r="21" spans="1:67" x14ac:dyDescent="0.25">
      <c r="A21" s="24" t="s">
        <v>218</v>
      </c>
    </row>
    <row r="22" spans="1:67" x14ac:dyDescent="0.25">
      <c r="A22" s="1" t="s">
        <v>0</v>
      </c>
      <c r="B22" s="119" t="s">
        <v>1</v>
      </c>
      <c r="C22" s="120"/>
      <c r="D22" s="119" t="s">
        <v>282</v>
      </c>
      <c r="E22" s="120"/>
      <c r="F22" s="119" t="s">
        <v>2</v>
      </c>
      <c r="G22" s="120"/>
      <c r="H22" s="119" t="s">
        <v>3</v>
      </c>
      <c r="I22" s="120"/>
      <c r="J22" s="119" t="s">
        <v>4</v>
      </c>
      <c r="K22" s="120"/>
      <c r="L22" s="119" t="s">
        <v>283</v>
      </c>
      <c r="M22" s="120"/>
      <c r="N22" s="119" t="s">
        <v>6</v>
      </c>
      <c r="O22" s="120"/>
      <c r="P22" s="119" t="s">
        <v>5</v>
      </c>
      <c r="Q22" s="120"/>
      <c r="R22" s="119" t="s">
        <v>7</v>
      </c>
      <c r="S22" s="120"/>
      <c r="T22" s="119" t="s">
        <v>284</v>
      </c>
      <c r="U22" s="120"/>
      <c r="V22" s="119" t="s">
        <v>8</v>
      </c>
      <c r="W22" s="120"/>
      <c r="X22" s="119" t="s">
        <v>9</v>
      </c>
      <c r="Y22" s="120"/>
      <c r="Z22" s="119" t="s">
        <v>10</v>
      </c>
      <c r="AA22" s="120"/>
      <c r="AB22" s="119" t="s">
        <v>293</v>
      </c>
      <c r="AC22" s="120"/>
      <c r="AD22" s="119" t="s">
        <v>11</v>
      </c>
      <c r="AE22" s="120"/>
      <c r="AF22" s="119" t="s">
        <v>12</v>
      </c>
      <c r="AG22" s="120"/>
      <c r="AH22" s="119" t="s">
        <v>285</v>
      </c>
      <c r="AI22" s="120"/>
      <c r="AJ22" s="119" t="s">
        <v>290</v>
      </c>
      <c r="AK22" s="120"/>
      <c r="AL22" s="119" t="s">
        <v>13</v>
      </c>
      <c r="AM22" s="120"/>
      <c r="AN22" s="119" t="s">
        <v>286</v>
      </c>
      <c r="AO22" s="120"/>
      <c r="AP22" s="119" t="s">
        <v>287</v>
      </c>
      <c r="AQ22" s="120"/>
      <c r="AR22" s="119" t="s">
        <v>291</v>
      </c>
      <c r="AS22" s="120"/>
      <c r="AT22" s="119" t="s">
        <v>294</v>
      </c>
      <c r="AU22" s="120"/>
      <c r="AV22" s="119" t="s">
        <v>14</v>
      </c>
      <c r="AW22" s="120"/>
      <c r="AX22" s="119" t="s">
        <v>15</v>
      </c>
      <c r="AY22" s="120"/>
      <c r="AZ22" s="119" t="s">
        <v>16</v>
      </c>
      <c r="BA22" s="120"/>
      <c r="BB22" s="119" t="s">
        <v>17</v>
      </c>
      <c r="BC22" s="120"/>
      <c r="BD22" s="119" t="s">
        <v>18</v>
      </c>
      <c r="BE22" s="120"/>
      <c r="BF22" s="119" t="s">
        <v>288</v>
      </c>
      <c r="BG22" s="120"/>
      <c r="BH22" s="119" t="s">
        <v>289</v>
      </c>
      <c r="BI22" s="120"/>
      <c r="BJ22" s="119" t="s">
        <v>19</v>
      </c>
      <c r="BK22" s="120"/>
      <c r="BL22" s="119" t="s">
        <v>20</v>
      </c>
      <c r="BM22" s="120"/>
      <c r="BN22" s="121" t="s">
        <v>21</v>
      </c>
      <c r="BO22" s="122"/>
    </row>
    <row r="23" spans="1:67" ht="30" x14ac:dyDescent="0.25">
      <c r="A23" s="1"/>
      <c r="B23" s="57" t="s">
        <v>296</v>
      </c>
      <c r="C23" s="58" t="s">
        <v>297</v>
      </c>
      <c r="D23" s="57" t="s">
        <v>296</v>
      </c>
      <c r="E23" s="58" t="s">
        <v>297</v>
      </c>
      <c r="F23" s="57" t="s">
        <v>296</v>
      </c>
      <c r="G23" s="58" t="s">
        <v>297</v>
      </c>
      <c r="H23" s="57" t="s">
        <v>296</v>
      </c>
      <c r="I23" s="58" t="s">
        <v>297</v>
      </c>
      <c r="J23" s="57" t="s">
        <v>296</v>
      </c>
      <c r="K23" s="58" t="s">
        <v>297</v>
      </c>
      <c r="L23" s="57" t="s">
        <v>296</v>
      </c>
      <c r="M23" s="58" t="s">
        <v>297</v>
      </c>
      <c r="N23" s="57" t="s">
        <v>296</v>
      </c>
      <c r="O23" s="58" t="s">
        <v>297</v>
      </c>
      <c r="P23" s="57" t="s">
        <v>296</v>
      </c>
      <c r="Q23" s="58" t="s">
        <v>297</v>
      </c>
      <c r="R23" s="57" t="s">
        <v>296</v>
      </c>
      <c r="S23" s="58" t="s">
        <v>297</v>
      </c>
      <c r="T23" s="57" t="s">
        <v>296</v>
      </c>
      <c r="U23" s="58" t="s">
        <v>297</v>
      </c>
      <c r="V23" s="57" t="s">
        <v>296</v>
      </c>
      <c r="W23" s="58" t="s">
        <v>297</v>
      </c>
      <c r="X23" s="57" t="s">
        <v>296</v>
      </c>
      <c r="Y23" s="58" t="s">
        <v>297</v>
      </c>
      <c r="Z23" s="57" t="s">
        <v>296</v>
      </c>
      <c r="AA23" s="58" t="s">
        <v>297</v>
      </c>
      <c r="AB23" s="57" t="s">
        <v>296</v>
      </c>
      <c r="AC23" s="58" t="s">
        <v>297</v>
      </c>
      <c r="AD23" s="57" t="s">
        <v>296</v>
      </c>
      <c r="AE23" s="58" t="s">
        <v>297</v>
      </c>
      <c r="AF23" s="57" t="s">
        <v>296</v>
      </c>
      <c r="AG23" s="58" t="s">
        <v>297</v>
      </c>
      <c r="AH23" s="57" t="s">
        <v>296</v>
      </c>
      <c r="AI23" s="58" t="s">
        <v>297</v>
      </c>
      <c r="AJ23" s="57" t="s">
        <v>296</v>
      </c>
      <c r="AK23" s="58" t="s">
        <v>297</v>
      </c>
      <c r="AL23" s="57" t="s">
        <v>296</v>
      </c>
      <c r="AM23" s="58" t="s">
        <v>297</v>
      </c>
      <c r="AN23" s="57" t="s">
        <v>296</v>
      </c>
      <c r="AO23" s="58" t="s">
        <v>297</v>
      </c>
      <c r="AP23" s="57" t="s">
        <v>296</v>
      </c>
      <c r="AQ23" s="58" t="s">
        <v>297</v>
      </c>
      <c r="AR23" s="57" t="s">
        <v>296</v>
      </c>
      <c r="AS23" s="58" t="s">
        <v>297</v>
      </c>
      <c r="AT23" s="57" t="s">
        <v>296</v>
      </c>
      <c r="AU23" s="58" t="s">
        <v>297</v>
      </c>
      <c r="AV23" s="57" t="s">
        <v>296</v>
      </c>
      <c r="AW23" s="58" t="s">
        <v>297</v>
      </c>
      <c r="AX23" s="57" t="s">
        <v>296</v>
      </c>
      <c r="AY23" s="58" t="s">
        <v>297</v>
      </c>
      <c r="AZ23" s="57" t="s">
        <v>296</v>
      </c>
      <c r="BA23" s="58" t="s">
        <v>297</v>
      </c>
      <c r="BB23" s="57" t="s">
        <v>296</v>
      </c>
      <c r="BC23" s="58" t="s">
        <v>297</v>
      </c>
      <c r="BD23" s="57" t="s">
        <v>296</v>
      </c>
      <c r="BE23" s="58" t="s">
        <v>297</v>
      </c>
      <c r="BF23" s="57" t="s">
        <v>296</v>
      </c>
      <c r="BG23" s="58" t="s">
        <v>297</v>
      </c>
      <c r="BH23" s="57" t="s">
        <v>296</v>
      </c>
      <c r="BI23" s="58" t="s">
        <v>297</v>
      </c>
      <c r="BJ23" s="57" t="s">
        <v>296</v>
      </c>
      <c r="BK23" s="58" t="s">
        <v>297</v>
      </c>
      <c r="BL23" s="57" t="s">
        <v>296</v>
      </c>
      <c r="BM23" s="58" t="s">
        <v>297</v>
      </c>
      <c r="BN23" s="57" t="s">
        <v>296</v>
      </c>
      <c r="BO23" s="58" t="s">
        <v>297</v>
      </c>
    </row>
    <row r="24" spans="1:67" x14ac:dyDescent="0.25">
      <c r="A24" s="84" t="s">
        <v>271</v>
      </c>
      <c r="B24" s="84">
        <v>834415</v>
      </c>
      <c r="C24" s="84">
        <v>2680960</v>
      </c>
      <c r="D24" s="84"/>
      <c r="E24" s="84"/>
      <c r="F24" s="84"/>
      <c r="G24" s="84"/>
      <c r="H24" s="84">
        <v>13719963</v>
      </c>
      <c r="I24" s="84">
        <v>47263319</v>
      </c>
      <c r="J24" s="84">
        <v>4155271</v>
      </c>
      <c r="K24" s="84">
        <v>13684799</v>
      </c>
      <c r="L24" s="84">
        <v>9390316</v>
      </c>
      <c r="M24" s="84">
        <v>31248820</v>
      </c>
      <c r="N24" s="84"/>
      <c r="O24" s="84"/>
      <c r="P24" s="84">
        <v>391612</v>
      </c>
      <c r="Q24" s="84">
        <v>1114416</v>
      </c>
      <c r="R24" s="84">
        <v>4190259</v>
      </c>
      <c r="S24" s="84">
        <v>13513831</v>
      </c>
      <c r="T24" s="84">
        <v>6708479</v>
      </c>
      <c r="U24" s="84">
        <v>19573122</v>
      </c>
      <c r="V24" s="84">
        <f>5591510+4264426</f>
        <v>9855936</v>
      </c>
      <c r="W24" s="84">
        <f>19015041+15049515</f>
        <v>34064556</v>
      </c>
      <c r="X24" s="84">
        <v>18721738</v>
      </c>
      <c r="Y24" s="84">
        <v>70199234</v>
      </c>
      <c r="Z24" s="84">
        <v>11781757</v>
      </c>
      <c r="AA24" s="84">
        <v>37211342</v>
      </c>
      <c r="AB24" s="84">
        <v>918248</v>
      </c>
      <c r="AC24" s="84">
        <v>2863082</v>
      </c>
      <c r="AD24" s="84">
        <f>1490901+1168221</f>
        <v>2659122</v>
      </c>
      <c r="AE24" s="84">
        <f>5455826+4071356</f>
        <v>9527182</v>
      </c>
      <c r="AF24" s="84">
        <v>2890916</v>
      </c>
      <c r="AG24" s="84">
        <v>9685386</v>
      </c>
      <c r="AH24" s="84"/>
      <c r="AI24" s="84"/>
      <c r="AJ24" s="84"/>
      <c r="AK24" s="84"/>
      <c r="AL24" s="84">
        <v>13349134.523028832</v>
      </c>
      <c r="AM24" s="84">
        <v>48714369.07371597</v>
      </c>
      <c r="AN24" s="84">
        <v>68952</v>
      </c>
      <c r="AO24" s="84">
        <v>418190</v>
      </c>
      <c r="AP24" s="84">
        <f>216202+477352</f>
        <v>693554</v>
      </c>
      <c r="AQ24" s="84">
        <f>510029+1228760</f>
        <v>1738789</v>
      </c>
      <c r="AR24" s="84">
        <v>11272786</v>
      </c>
      <c r="AS24" s="84">
        <v>35735965</v>
      </c>
      <c r="AT24" s="84"/>
      <c r="AU24" s="84"/>
      <c r="AV24" s="84">
        <v>5988741</v>
      </c>
      <c r="AW24" s="84">
        <v>19786139</v>
      </c>
      <c r="AX24" s="84">
        <v>8872351</v>
      </c>
      <c r="AY24" s="84">
        <v>21439073</v>
      </c>
      <c r="AZ24" s="84">
        <v>5542288</v>
      </c>
      <c r="BA24" s="84">
        <v>20492363</v>
      </c>
      <c r="BB24" s="84"/>
      <c r="BC24" s="84"/>
      <c r="BD24" s="103">
        <v>10719258</v>
      </c>
      <c r="BE24" s="103">
        <v>43392834</v>
      </c>
      <c r="BF24" s="84">
        <v>29129196</v>
      </c>
      <c r="BG24" s="84">
        <v>104224451</v>
      </c>
      <c r="BH24" s="103">
        <v>11068664</v>
      </c>
      <c r="BI24" s="103">
        <v>38423357</v>
      </c>
      <c r="BJ24" s="103">
        <v>16194769</v>
      </c>
      <c r="BK24" s="103">
        <v>58038381</v>
      </c>
      <c r="BL24" s="103">
        <f>3323016+1001822</f>
        <v>4324838</v>
      </c>
      <c r="BM24" s="103">
        <f>5904293+4202999</f>
        <v>10107292</v>
      </c>
      <c r="BN24" s="73">
        <f t="shared" ref="BN24:BN28" si="4">SUM(B24+D24+F24+H24+J24+L24+N24+P24+R24+T24+V24+X24+Z24+AB24+AD24+AF24+AH24+AJ24+AL24+AN24+AP24+AR24+AT24+AV24+AX24+AZ24+BB24+BD24+BF24+BH24+BJ24+BL24)</f>
        <v>203442563.52302885</v>
      </c>
      <c r="BO24" s="73">
        <f t="shared" ref="BO24:BO28" si="5">SUM(C24+E24+G24+I24+K24+M24+O24+Q24+S24+U24+W24+Y24+AA24+AC24+AE24+AG24+AI24+AK24+AM24+AO24+AQ24+AS24+AU24+AW24+AY24+BA24+BC24+BE24+BG24+BI24+BK24+BM24)</f>
        <v>695141252.07371593</v>
      </c>
    </row>
    <row r="25" spans="1:67" x14ac:dyDescent="0.25">
      <c r="A25" s="84" t="s">
        <v>274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>
        <v>2138071</v>
      </c>
      <c r="U25" s="84">
        <v>4755214</v>
      </c>
      <c r="V25" s="84"/>
      <c r="W25" s="84"/>
      <c r="X25" s="84">
        <v>62321</v>
      </c>
      <c r="Y25" s="84">
        <v>221138</v>
      </c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>
        <v>5350.5205252510023</v>
      </c>
      <c r="AM25" s="84">
        <v>21941.162390019999</v>
      </c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103">
        <v>3290001</v>
      </c>
      <c r="BE25" s="103">
        <v>3290001</v>
      </c>
      <c r="BF25" s="84">
        <v>24133</v>
      </c>
      <c r="BG25" s="84">
        <v>104026</v>
      </c>
      <c r="BH25" s="103">
        <v>1870</v>
      </c>
      <c r="BI25" s="103">
        <v>11508</v>
      </c>
      <c r="BJ25" s="84"/>
      <c r="BK25" s="84"/>
      <c r="BL25" s="103"/>
      <c r="BM25" s="103"/>
      <c r="BN25" s="73">
        <f t="shared" si="4"/>
        <v>5521746.5205252506</v>
      </c>
      <c r="BO25" s="73">
        <f t="shared" si="5"/>
        <v>8403828.1623900197</v>
      </c>
    </row>
    <row r="26" spans="1:67" x14ac:dyDescent="0.25">
      <c r="A26" s="84" t="s">
        <v>275</v>
      </c>
      <c r="B26" s="84">
        <v>538476</v>
      </c>
      <c r="C26" s="84">
        <v>1742752</v>
      </c>
      <c r="D26" s="84"/>
      <c r="E26" s="84"/>
      <c r="F26" s="84"/>
      <c r="G26" s="84"/>
      <c r="H26" s="84">
        <v>962605</v>
      </c>
      <c r="I26" s="84">
        <v>3935202</v>
      </c>
      <c r="J26" s="84">
        <v>313216</v>
      </c>
      <c r="K26" s="84">
        <v>931984</v>
      </c>
      <c r="L26" s="84">
        <v>1652633</v>
      </c>
      <c r="M26" s="84">
        <v>5402694</v>
      </c>
      <c r="N26" s="84"/>
      <c r="O26" s="84"/>
      <c r="P26" s="84">
        <v>25909</v>
      </c>
      <c r="Q26" s="84">
        <v>78231</v>
      </c>
      <c r="R26" s="84">
        <v>204331</v>
      </c>
      <c r="S26" s="84">
        <v>756246</v>
      </c>
      <c r="T26" s="84">
        <v>412022</v>
      </c>
      <c r="U26" s="84">
        <v>1168211</v>
      </c>
      <c r="V26" s="84">
        <f>-2506767-214424</f>
        <v>-2721191</v>
      </c>
      <c r="W26" s="84">
        <f>-8592314-777013</f>
        <v>-9369327</v>
      </c>
      <c r="X26" s="84">
        <v>1006016</v>
      </c>
      <c r="Y26" s="84">
        <v>3809724</v>
      </c>
      <c r="Z26" s="84">
        <v>1653904</v>
      </c>
      <c r="AA26" s="84">
        <v>5397107</v>
      </c>
      <c r="AB26" s="84">
        <v>53549</v>
      </c>
      <c r="AC26" s="84">
        <v>167886</v>
      </c>
      <c r="AD26" s="84">
        <f>74577+58586</f>
        <v>133163</v>
      </c>
      <c r="AE26" s="84">
        <f>307914+229970</f>
        <v>537884</v>
      </c>
      <c r="AF26" s="84">
        <v>-871652</v>
      </c>
      <c r="AG26" s="84">
        <v>-2814073</v>
      </c>
      <c r="AH26" s="84"/>
      <c r="AI26" s="84"/>
      <c r="AJ26" s="84"/>
      <c r="AK26" s="84"/>
      <c r="AL26" s="84">
        <v>907991.22956469096</v>
      </c>
      <c r="AM26" s="84">
        <v>3228390.6776016671</v>
      </c>
      <c r="AN26" s="84">
        <v>2139</v>
      </c>
      <c r="AO26" s="84">
        <v>-32924</v>
      </c>
      <c r="AP26" s="84">
        <f>15992+32516</f>
        <v>48508</v>
      </c>
      <c r="AQ26" s="84">
        <f>36890+80800</f>
        <v>117690</v>
      </c>
      <c r="AR26" s="84">
        <v>3432437</v>
      </c>
      <c r="AS26" s="84">
        <v>10687395</v>
      </c>
      <c r="AT26" s="84"/>
      <c r="AU26" s="84"/>
      <c r="AV26" s="84">
        <v>-866032</v>
      </c>
      <c r="AW26" s="84">
        <v>-3095138</v>
      </c>
      <c r="AX26" s="84">
        <v>4690032</v>
      </c>
      <c r="AY26" s="84">
        <v>10071135</v>
      </c>
      <c r="AZ26" s="84">
        <v>309005</v>
      </c>
      <c r="BA26" s="84">
        <v>1132298</v>
      </c>
      <c r="BB26" s="84"/>
      <c r="BC26" s="84"/>
      <c r="BD26" s="103">
        <v>1770631</v>
      </c>
      <c r="BE26" s="103">
        <v>7266167</v>
      </c>
      <c r="BF26" s="84">
        <v>1891930</v>
      </c>
      <c r="BG26" s="84">
        <v>6409791</v>
      </c>
      <c r="BH26" s="103">
        <v>567084</v>
      </c>
      <c r="BI26" s="103">
        <v>2020165</v>
      </c>
      <c r="BJ26" s="103">
        <v>812691</v>
      </c>
      <c r="BK26" s="103">
        <v>2945894</v>
      </c>
      <c r="BL26" s="103">
        <f>3385424+867446</f>
        <v>4252870</v>
      </c>
      <c r="BM26" s="103">
        <f>3559196+1048920</f>
        <v>4608116</v>
      </c>
      <c r="BN26" s="73">
        <f t="shared" si="4"/>
        <v>21182267.229564689</v>
      </c>
      <c r="BO26" s="73">
        <f t="shared" si="5"/>
        <v>57103500.677601665</v>
      </c>
    </row>
    <row r="27" spans="1:67" x14ac:dyDescent="0.25">
      <c r="A27" s="84" t="s">
        <v>229</v>
      </c>
      <c r="B27" s="84">
        <v>295939</v>
      </c>
      <c r="C27" s="84">
        <v>938208</v>
      </c>
      <c r="D27" s="84"/>
      <c r="E27" s="84"/>
      <c r="F27" s="84"/>
      <c r="G27" s="84"/>
      <c r="H27" s="84">
        <v>12757358</v>
      </c>
      <c r="I27" s="84">
        <v>43328117</v>
      </c>
      <c r="J27" s="84">
        <v>3842055</v>
      </c>
      <c r="K27" s="84">
        <v>12752816</v>
      </c>
      <c r="L27" s="84">
        <v>7737683</v>
      </c>
      <c r="M27" s="84">
        <v>25846126</v>
      </c>
      <c r="N27" s="84"/>
      <c r="O27" s="84"/>
      <c r="P27" s="84">
        <v>365703</v>
      </c>
      <c r="Q27" s="84">
        <v>1036185</v>
      </c>
      <c r="R27" s="84">
        <v>3985927</v>
      </c>
      <c r="S27" s="84">
        <v>12757585</v>
      </c>
      <c r="T27" s="84">
        <v>8434529</v>
      </c>
      <c r="U27" s="84">
        <v>23160125</v>
      </c>
      <c r="V27" s="84">
        <f>3084743+4050002</f>
        <v>7134745</v>
      </c>
      <c r="W27" s="84">
        <f>10422727+14272502</f>
        <v>24695229</v>
      </c>
      <c r="X27" s="84">
        <v>17778043</v>
      </c>
      <c r="Y27" s="84">
        <v>66610648</v>
      </c>
      <c r="Z27" s="84">
        <v>10127853</v>
      </c>
      <c r="AA27" s="84">
        <v>31814235</v>
      </c>
      <c r="AB27" s="84">
        <v>864699</v>
      </c>
      <c r="AC27" s="84">
        <v>2695196</v>
      </c>
      <c r="AD27" s="84">
        <f>1416324+1109635</f>
        <v>2525959</v>
      </c>
      <c r="AE27" s="84">
        <f>5147912+3841386</f>
        <v>8989298</v>
      </c>
      <c r="AF27" s="84">
        <v>2019264</v>
      </c>
      <c r="AG27" s="84">
        <v>6871313</v>
      </c>
      <c r="AH27" s="84"/>
      <c r="AI27" s="84"/>
      <c r="AJ27" s="84"/>
      <c r="AK27" s="84"/>
      <c r="AL27" s="84">
        <v>12446493.813989392</v>
      </c>
      <c r="AM27" s="84">
        <v>45507919.558504328</v>
      </c>
      <c r="AN27" s="84">
        <v>71091</v>
      </c>
      <c r="AO27" s="84">
        <v>385266</v>
      </c>
      <c r="AP27" s="84">
        <f>200210+444837</f>
        <v>645047</v>
      </c>
      <c r="AQ27" s="84">
        <f>473138+1147961</f>
        <v>1621099</v>
      </c>
      <c r="AR27" s="84">
        <v>7840349</v>
      </c>
      <c r="AS27" s="84">
        <v>25048570</v>
      </c>
      <c r="AT27" s="84"/>
      <c r="AU27" s="84"/>
      <c r="AV27" s="84">
        <v>5122709</v>
      </c>
      <c r="AW27" s="84">
        <v>16691001</v>
      </c>
      <c r="AX27" s="84">
        <v>4182319</v>
      </c>
      <c r="AY27" s="84">
        <v>11367938</v>
      </c>
      <c r="AZ27" s="84">
        <v>5233283</v>
      </c>
      <c r="BA27" s="84">
        <v>19360065</v>
      </c>
      <c r="BB27" s="84"/>
      <c r="BC27" s="84"/>
      <c r="BD27" s="103">
        <v>12238628</v>
      </c>
      <c r="BE27" s="103">
        <v>39416668</v>
      </c>
      <c r="BF27" s="84">
        <v>27261399</v>
      </c>
      <c r="BG27" s="84">
        <v>97918686</v>
      </c>
      <c r="BH27" s="103">
        <v>10503450</v>
      </c>
      <c r="BI27" s="103">
        <v>36414700</v>
      </c>
      <c r="BJ27" s="103">
        <v>15382078</v>
      </c>
      <c r="BK27" s="103">
        <v>55092487</v>
      </c>
      <c r="BL27" s="103">
        <f>-62408+134376</f>
        <v>71968</v>
      </c>
      <c r="BM27" s="103">
        <f>2345097+3154079</f>
        <v>5499176</v>
      </c>
      <c r="BN27" s="73">
        <f t="shared" si="4"/>
        <v>178868571.8139894</v>
      </c>
      <c r="BO27" s="73">
        <f t="shared" si="5"/>
        <v>615818656.55850434</v>
      </c>
    </row>
    <row r="28" spans="1:67" x14ac:dyDescent="0.25">
      <c r="A28" s="84" t="s">
        <v>230</v>
      </c>
      <c r="B28" s="84">
        <v>218420</v>
      </c>
      <c r="C28" s="84">
        <v>781916</v>
      </c>
      <c r="D28" s="84"/>
      <c r="E28" s="84"/>
      <c r="F28" s="84"/>
      <c r="G28" s="84"/>
      <c r="H28" s="84">
        <v>10620041</v>
      </c>
      <c r="I28" s="84">
        <v>43608669</v>
      </c>
      <c r="J28" s="84">
        <v>3015146</v>
      </c>
      <c r="K28" s="84">
        <v>12413180</v>
      </c>
      <c r="L28" s="84">
        <v>6377121</v>
      </c>
      <c r="M28" s="84">
        <v>25161588</v>
      </c>
      <c r="N28" s="84"/>
      <c r="O28" s="84"/>
      <c r="P28" s="84">
        <v>241737</v>
      </c>
      <c r="Q28" s="84">
        <v>910573</v>
      </c>
      <c r="R28" s="84">
        <v>3131878</v>
      </c>
      <c r="S28" s="84">
        <v>12301318</v>
      </c>
      <c r="T28" s="84">
        <v>5018646</v>
      </c>
      <c r="U28" s="84">
        <v>17030202</v>
      </c>
      <c r="V28" s="84">
        <f>2742055+3385853</f>
        <v>6127908</v>
      </c>
      <c r="W28" s="84">
        <f>11485515+12589909</f>
        <v>24075424</v>
      </c>
      <c r="X28" s="84">
        <v>16211962</v>
      </c>
      <c r="Y28" s="84">
        <v>61718810</v>
      </c>
      <c r="Z28" s="84">
        <v>7568867</v>
      </c>
      <c r="AA28" s="84">
        <v>28679937</v>
      </c>
      <c r="AB28" s="84">
        <v>636965</v>
      </c>
      <c r="AC28" s="84">
        <v>2426710</v>
      </c>
      <c r="AD28" s="84">
        <f>1283749+944546</f>
        <v>2228295</v>
      </c>
      <c r="AE28" s="84">
        <f>5179932+3898247</f>
        <v>9078179</v>
      </c>
      <c r="AF28" s="84">
        <v>1655437</v>
      </c>
      <c r="AG28" s="84">
        <v>6843357</v>
      </c>
      <c r="AH28" s="84"/>
      <c r="AI28" s="84"/>
      <c r="AJ28" s="84"/>
      <c r="AK28" s="84"/>
      <c r="AL28" s="84">
        <v>11476998.597989392</v>
      </c>
      <c r="AM28" s="84">
        <v>44297156.584504329</v>
      </c>
      <c r="AN28" s="84">
        <v>99823</v>
      </c>
      <c r="AO28" s="84">
        <v>499849</v>
      </c>
      <c r="AP28" s="84">
        <f>237918+142714</f>
        <v>380632</v>
      </c>
      <c r="AQ28" s="84">
        <f>504209+728804</f>
        <v>1233013</v>
      </c>
      <c r="AR28" s="84">
        <v>5601477</v>
      </c>
      <c r="AS28" s="84">
        <v>20326007</v>
      </c>
      <c r="AT28" s="84"/>
      <c r="AU28" s="84"/>
      <c r="AV28" s="84">
        <v>4039654</v>
      </c>
      <c r="AW28" s="84">
        <v>16209668</v>
      </c>
      <c r="AX28" s="84">
        <v>2580630</v>
      </c>
      <c r="AY28" s="84">
        <v>9800137</v>
      </c>
      <c r="AZ28" s="84">
        <v>4894580</v>
      </c>
      <c r="BA28" s="84">
        <v>20956496</v>
      </c>
      <c r="BB28" s="84"/>
      <c r="BC28" s="84"/>
      <c r="BD28" s="103">
        <v>9280226</v>
      </c>
      <c r="BE28" s="103">
        <v>33427489</v>
      </c>
      <c r="BF28" s="84">
        <v>24034642</v>
      </c>
      <c r="BG28" s="84">
        <v>96935976</v>
      </c>
      <c r="BH28" s="103">
        <v>10527775</v>
      </c>
      <c r="BI28" s="103">
        <v>38668682</v>
      </c>
      <c r="BJ28" s="103">
        <v>15388305</v>
      </c>
      <c r="BK28" s="103">
        <v>58585400</v>
      </c>
      <c r="BL28" s="103">
        <f>60409+196983</f>
        <v>257392</v>
      </c>
      <c r="BM28" s="103">
        <f>3477403+3118289</f>
        <v>6595692</v>
      </c>
      <c r="BN28" s="73">
        <f t="shared" si="4"/>
        <v>151614557.59798938</v>
      </c>
      <c r="BO28" s="73">
        <f t="shared" si="5"/>
        <v>592565428.58450437</v>
      </c>
    </row>
    <row r="30" spans="1:67" x14ac:dyDescent="0.25">
      <c r="A30" s="24" t="s">
        <v>219</v>
      </c>
    </row>
    <row r="31" spans="1:67" x14ac:dyDescent="0.25">
      <c r="A31" s="1" t="s">
        <v>0</v>
      </c>
      <c r="B31" s="119" t="s">
        <v>1</v>
      </c>
      <c r="C31" s="120"/>
      <c r="D31" s="119" t="s">
        <v>282</v>
      </c>
      <c r="E31" s="120"/>
      <c r="F31" s="119" t="s">
        <v>2</v>
      </c>
      <c r="G31" s="120"/>
      <c r="H31" s="119" t="s">
        <v>3</v>
      </c>
      <c r="I31" s="120"/>
      <c r="J31" s="119" t="s">
        <v>4</v>
      </c>
      <c r="K31" s="120"/>
      <c r="L31" s="119" t="s">
        <v>283</v>
      </c>
      <c r="M31" s="120"/>
      <c r="N31" s="119" t="s">
        <v>6</v>
      </c>
      <c r="O31" s="120"/>
      <c r="P31" s="119" t="s">
        <v>5</v>
      </c>
      <c r="Q31" s="120"/>
      <c r="R31" s="119" t="s">
        <v>7</v>
      </c>
      <c r="S31" s="120"/>
      <c r="T31" s="119" t="s">
        <v>284</v>
      </c>
      <c r="U31" s="120"/>
      <c r="V31" s="119" t="s">
        <v>8</v>
      </c>
      <c r="W31" s="120"/>
      <c r="X31" s="119" t="s">
        <v>9</v>
      </c>
      <c r="Y31" s="120"/>
      <c r="Z31" s="119" t="s">
        <v>10</v>
      </c>
      <c r="AA31" s="120"/>
      <c r="AB31" s="119" t="s">
        <v>293</v>
      </c>
      <c r="AC31" s="120"/>
      <c r="AD31" s="119" t="s">
        <v>11</v>
      </c>
      <c r="AE31" s="120"/>
      <c r="AF31" s="119" t="s">
        <v>12</v>
      </c>
      <c r="AG31" s="120"/>
      <c r="AH31" s="119" t="s">
        <v>285</v>
      </c>
      <c r="AI31" s="120"/>
      <c r="AJ31" s="119" t="s">
        <v>290</v>
      </c>
      <c r="AK31" s="120"/>
      <c r="AL31" s="119" t="s">
        <v>13</v>
      </c>
      <c r="AM31" s="120"/>
      <c r="AN31" s="119" t="s">
        <v>286</v>
      </c>
      <c r="AO31" s="120"/>
      <c r="AP31" s="119" t="s">
        <v>287</v>
      </c>
      <c r="AQ31" s="120"/>
      <c r="AR31" s="119" t="s">
        <v>291</v>
      </c>
      <c r="AS31" s="120"/>
      <c r="AT31" s="119" t="s">
        <v>294</v>
      </c>
      <c r="AU31" s="120"/>
      <c r="AV31" s="119" t="s">
        <v>14</v>
      </c>
      <c r="AW31" s="120"/>
      <c r="AX31" s="119" t="s">
        <v>15</v>
      </c>
      <c r="AY31" s="120"/>
      <c r="AZ31" s="119" t="s">
        <v>16</v>
      </c>
      <c r="BA31" s="120"/>
      <c r="BB31" s="119" t="s">
        <v>17</v>
      </c>
      <c r="BC31" s="120"/>
      <c r="BD31" s="119" t="s">
        <v>18</v>
      </c>
      <c r="BE31" s="120"/>
      <c r="BF31" s="119" t="s">
        <v>288</v>
      </c>
      <c r="BG31" s="120"/>
      <c r="BH31" s="119" t="s">
        <v>289</v>
      </c>
      <c r="BI31" s="120"/>
      <c r="BJ31" s="119" t="s">
        <v>19</v>
      </c>
      <c r="BK31" s="120"/>
      <c r="BL31" s="119" t="s">
        <v>20</v>
      </c>
      <c r="BM31" s="120"/>
      <c r="BN31" s="121" t="s">
        <v>21</v>
      </c>
      <c r="BO31" s="122"/>
    </row>
    <row r="32" spans="1:67" ht="30" x14ac:dyDescent="0.25">
      <c r="A32" s="1"/>
      <c r="B32" s="57" t="s">
        <v>296</v>
      </c>
      <c r="C32" s="58" t="s">
        <v>297</v>
      </c>
      <c r="D32" s="57" t="s">
        <v>296</v>
      </c>
      <c r="E32" s="58" t="s">
        <v>297</v>
      </c>
      <c r="F32" s="57" t="s">
        <v>296</v>
      </c>
      <c r="G32" s="58" t="s">
        <v>297</v>
      </c>
      <c r="H32" s="57" t="s">
        <v>296</v>
      </c>
      <c r="I32" s="58" t="s">
        <v>297</v>
      </c>
      <c r="J32" s="57" t="s">
        <v>296</v>
      </c>
      <c r="K32" s="58" t="s">
        <v>297</v>
      </c>
      <c r="L32" s="57" t="s">
        <v>296</v>
      </c>
      <c r="M32" s="58" t="s">
        <v>297</v>
      </c>
      <c r="N32" s="57" t="s">
        <v>296</v>
      </c>
      <c r="O32" s="58" t="s">
        <v>297</v>
      </c>
      <c r="P32" s="57" t="s">
        <v>296</v>
      </c>
      <c r="Q32" s="58" t="s">
        <v>297</v>
      </c>
      <c r="R32" s="57" t="s">
        <v>296</v>
      </c>
      <c r="S32" s="58" t="s">
        <v>297</v>
      </c>
      <c r="T32" s="57" t="s">
        <v>296</v>
      </c>
      <c r="U32" s="58" t="s">
        <v>297</v>
      </c>
      <c r="V32" s="57" t="s">
        <v>296</v>
      </c>
      <c r="W32" s="58" t="s">
        <v>297</v>
      </c>
      <c r="X32" s="57" t="s">
        <v>296</v>
      </c>
      <c r="Y32" s="58" t="s">
        <v>297</v>
      </c>
      <c r="Z32" s="57" t="s">
        <v>296</v>
      </c>
      <c r="AA32" s="58" t="s">
        <v>297</v>
      </c>
      <c r="AB32" s="57" t="s">
        <v>296</v>
      </c>
      <c r="AC32" s="58" t="s">
        <v>297</v>
      </c>
      <c r="AD32" s="57" t="s">
        <v>296</v>
      </c>
      <c r="AE32" s="58" t="s">
        <v>297</v>
      </c>
      <c r="AF32" s="57" t="s">
        <v>296</v>
      </c>
      <c r="AG32" s="58" t="s">
        <v>297</v>
      </c>
      <c r="AH32" s="57" t="s">
        <v>296</v>
      </c>
      <c r="AI32" s="58" t="s">
        <v>297</v>
      </c>
      <c r="AJ32" s="57" t="s">
        <v>296</v>
      </c>
      <c r="AK32" s="58" t="s">
        <v>297</v>
      </c>
      <c r="AL32" s="57" t="s">
        <v>296</v>
      </c>
      <c r="AM32" s="58" t="s">
        <v>297</v>
      </c>
      <c r="AN32" s="57" t="s">
        <v>296</v>
      </c>
      <c r="AO32" s="58" t="s">
        <v>297</v>
      </c>
      <c r="AP32" s="57" t="s">
        <v>296</v>
      </c>
      <c r="AQ32" s="58" t="s">
        <v>297</v>
      </c>
      <c r="AR32" s="57" t="s">
        <v>296</v>
      </c>
      <c r="AS32" s="58" t="s">
        <v>297</v>
      </c>
      <c r="AT32" s="57" t="s">
        <v>296</v>
      </c>
      <c r="AU32" s="58" t="s">
        <v>297</v>
      </c>
      <c r="AV32" s="57" t="s">
        <v>296</v>
      </c>
      <c r="AW32" s="58" t="s">
        <v>297</v>
      </c>
      <c r="AX32" s="57" t="s">
        <v>296</v>
      </c>
      <c r="AY32" s="58" t="s">
        <v>297</v>
      </c>
      <c r="AZ32" s="57" t="s">
        <v>296</v>
      </c>
      <c r="BA32" s="58" t="s">
        <v>297</v>
      </c>
      <c r="BB32" s="57" t="s">
        <v>296</v>
      </c>
      <c r="BC32" s="58" t="s">
        <v>297</v>
      </c>
      <c r="BD32" s="57" t="s">
        <v>296</v>
      </c>
      <c r="BE32" s="58" t="s">
        <v>297</v>
      </c>
      <c r="BF32" s="57" t="s">
        <v>296</v>
      </c>
      <c r="BG32" s="58" t="s">
        <v>297</v>
      </c>
      <c r="BH32" s="57" t="s">
        <v>296</v>
      </c>
      <c r="BI32" s="58" t="s">
        <v>297</v>
      </c>
      <c r="BJ32" s="57" t="s">
        <v>296</v>
      </c>
      <c r="BK32" s="58" t="s">
        <v>297</v>
      </c>
      <c r="BL32" s="57" t="s">
        <v>296</v>
      </c>
      <c r="BM32" s="58" t="s">
        <v>297</v>
      </c>
      <c r="BN32" s="57" t="s">
        <v>296</v>
      </c>
      <c r="BO32" s="58" t="s">
        <v>297</v>
      </c>
    </row>
    <row r="33" spans="1:67" x14ac:dyDescent="0.25">
      <c r="A33" s="84" t="s">
        <v>271</v>
      </c>
      <c r="B33" s="84"/>
      <c r="C33" s="84"/>
      <c r="D33" s="84"/>
      <c r="E33" s="84"/>
      <c r="F33" s="84"/>
      <c r="G33" s="84"/>
      <c r="H33" s="84">
        <v>596134</v>
      </c>
      <c r="I33" s="84">
        <v>2208109</v>
      </c>
      <c r="J33" s="84">
        <v>104073</v>
      </c>
      <c r="K33" s="84">
        <v>402529</v>
      </c>
      <c r="L33" s="84">
        <v>72720</v>
      </c>
      <c r="M33" s="84">
        <v>291960</v>
      </c>
      <c r="N33" s="84"/>
      <c r="O33" s="84"/>
      <c r="P33" s="84">
        <v>10430</v>
      </c>
      <c r="Q33" s="84">
        <v>14647</v>
      </c>
      <c r="R33" s="84">
        <v>135722</v>
      </c>
      <c r="S33" s="84">
        <v>468794</v>
      </c>
      <c r="T33" s="84">
        <v>28798</v>
      </c>
      <c r="U33" s="84">
        <v>84216</v>
      </c>
      <c r="V33" s="84">
        <v>417207</v>
      </c>
      <c r="W33" s="84">
        <v>1748058</v>
      </c>
      <c r="X33" s="84">
        <v>1027214</v>
      </c>
      <c r="Y33" s="84">
        <v>3896537</v>
      </c>
      <c r="Z33" s="84">
        <v>292077</v>
      </c>
      <c r="AA33" s="84">
        <v>1007907</v>
      </c>
      <c r="AB33" s="84">
        <v>5452</v>
      </c>
      <c r="AC33" s="84">
        <v>12122</v>
      </c>
      <c r="AD33" s="84">
        <v>59434</v>
      </c>
      <c r="AE33" s="84">
        <v>271708</v>
      </c>
      <c r="AF33" s="84">
        <v>27047</v>
      </c>
      <c r="AG33" s="84">
        <v>72105</v>
      </c>
      <c r="AH33" s="84"/>
      <c r="AI33" s="84"/>
      <c r="AJ33" s="84"/>
      <c r="AK33" s="84"/>
      <c r="AL33" s="84">
        <v>998707.51623801584</v>
      </c>
      <c r="AM33" s="84">
        <v>2852474.7741762218</v>
      </c>
      <c r="AN33" s="84"/>
      <c r="AO33" s="84"/>
      <c r="AP33" s="84">
        <v>5526</v>
      </c>
      <c r="AQ33" s="84">
        <v>12073</v>
      </c>
      <c r="AR33" s="84">
        <v>271274</v>
      </c>
      <c r="AS33" s="84">
        <v>1400873</v>
      </c>
      <c r="AT33" s="84"/>
      <c r="AU33" s="84"/>
      <c r="AV33" s="84">
        <v>140208</v>
      </c>
      <c r="AW33" s="84">
        <v>620077</v>
      </c>
      <c r="AX33" s="84">
        <v>119018</v>
      </c>
      <c r="AY33" s="84">
        <v>414727</v>
      </c>
      <c r="AZ33" s="84">
        <v>40668</v>
      </c>
      <c r="BA33" s="84">
        <v>145998</v>
      </c>
      <c r="BB33" s="84"/>
      <c r="BC33" s="84"/>
      <c r="BD33" s="103">
        <v>237498</v>
      </c>
      <c r="BE33" s="103">
        <v>759891</v>
      </c>
      <c r="BF33" s="84">
        <v>2264678</v>
      </c>
      <c r="BG33" s="84">
        <v>7156444</v>
      </c>
      <c r="BH33" s="103">
        <v>953801</v>
      </c>
      <c r="BI33" s="103">
        <v>2622879</v>
      </c>
      <c r="BJ33" s="103">
        <v>1058610</v>
      </c>
      <c r="BK33" s="103">
        <v>3858659</v>
      </c>
      <c r="BL33" s="103">
        <v>15133</v>
      </c>
      <c r="BM33" s="103">
        <v>81728</v>
      </c>
      <c r="BN33" s="73">
        <f t="shared" ref="BN33:BN37" si="6">SUM(B33+D33+F33+H33+J33+L33+N33+P33+R33+T33+V33+X33+Z33+AB33+AD33+AF33+AH33+AJ33+AL33+AN33+AP33+AR33+AT33+AV33+AX33+AZ33+BB33+BD33+BF33+BH33+BJ33+BL33)</f>
        <v>8881429.5162380151</v>
      </c>
      <c r="BO33" s="73">
        <f t="shared" ref="BO33:BO37" si="7">SUM(C33+E33+G33+I33+K33+M33+O33+Q33+S33+U33+W33+Y33+AA33+AC33+AE33+AG33+AI33+AK33+AM33+AO33+AQ33+AS33+AU33+AW33+AY33+BA33+BC33+BE33+BG33+BI33+BK33+BM33)</f>
        <v>30404515.774176221</v>
      </c>
    </row>
    <row r="34" spans="1:67" x14ac:dyDescent="0.25">
      <c r="A34" s="84" t="s">
        <v>274</v>
      </c>
      <c r="B34" s="84"/>
      <c r="C34" s="84"/>
      <c r="D34" s="84"/>
      <c r="E34" s="84"/>
      <c r="F34" s="84"/>
      <c r="G34" s="84"/>
      <c r="H34" s="84">
        <v>13425</v>
      </c>
      <c r="I34" s="84">
        <v>48129</v>
      </c>
      <c r="J34" s="84">
        <v>2177</v>
      </c>
      <c r="K34" s="84">
        <v>14887</v>
      </c>
      <c r="L34" s="84">
        <v>3096</v>
      </c>
      <c r="M34" s="84">
        <v>14394</v>
      </c>
      <c r="N34" s="84"/>
      <c r="O34" s="84"/>
      <c r="P34" s="84">
        <v>884</v>
      </c>
      <c r="Q34" s="84">
        <v>4019</v>
      </c>
      <c r="R34" s="84">
        <v>9356</v>
      </c>
      <c r="S34" s="84">
        <v>38061</v>
      </c>
      <c r="T34" s="84">
        <v>8340</v>
      </c>
      <c r="U34" s="84">
        <v>24291</v>
      </c>
      <c r="V34" s="84">
        <v>15022</v>
      </c>
      <c r="W34" s="84">
        <v>88229</v>
      </c>
      <c r="X34" s="84">
        <v>80888</v>
      </c>
      <c r="Y34" s="84">
        <v>284983</v>
      </c>
      <c r="Z34" s="84">
        <v>11232</v>
      </c>
      <c r="AA34" s="84">
        <v>39988</v>
      </c>
      <c r="AB34" s="84">
        <v>953</v>
      </c>
      <c r="AC34" s="84">
        <v>4088</v>
      </c>
      <c r="AD34" s="84">
        <v>1845</v>
      </c>
      <c r="AE34" s="84">
        <v>10288</v>
      </c>
      <c r="AF34" s="84">
        <v>1550</v>
      </c>
      <c r="AG34" s="84">
        <v>13251</v>
      </c>
      <c r="AH34" s="84"/>
      <c r="AI34" s="84"/>
      <c r="AJ34" s="84"/>
      <c r="AK34" s="84"/>
      <c r="AL34" s="84">
        <v>99470.447200626018</v>
      </c>
      <c r="AM34" s="84">
        <v>274268.18543174304</v>
      </c>
      <c r="AN34" s="84">
        <v>177</v>
      </c>
      <c r="AO34" s="84">
        <v>804</v>
      </c>
      <c r="AP34" s="84">
        <v>88</v>
      </c>
      <c r="AQ34" s="84">
        <v>547</v>
      </c>
      <c r="AR34" s="84">
        <v>5735</v>
      </c>
      <c r="AS34" s="84">
        <v>30056</v>
      </c>
      <c r="AT34" s="84"/>
      <c r="AU34" s="84"/>
      <c r="AV34" s="84">
        <v>6744</v>
      </c>
      <c r="AW34" s="84">
        <v>45995</v>
      </c>
      <c r="AX34" s="84">
        <v>1380</v>
      </c>
      <c r="AY34" s="84">
        <v>6276</v>
      </c>
      <c r="AZ34" s="84">
        <v>1372</v>
      </c>
      <c r="BA34" s="84">
        <v>8056</v>
      </c>
      <c r="BB34" s="84"/>
      <c r="BC34" s="84"/>
      <c r="BD34" s="103">
        <v>7936</v>
      </c>
      <c r="BE34" s="103">
        <v>62567</v>
      </c>
      <c r="BF34" s="84">
        <v>149781</v>
      </c>
      <c r="BG34" s="84">
        <v>457467</v>
      </c>
      <c r="BH34" s="103">
        <v>183254</v>
      </c>
      <c r="BI34" s="103">
        <v>412719</v>
      </c>
      <c r="BJ34" s="103">
        <v>76189</v>
      </c>
      <c r="BK34" s="103">
        <v>217045</v>
      </c>
      <c r="BL34" s="103">
        <v>883</v>
      </c>
      <c r="BM34" s="103">
        <v>4019</v>
      </c>
      <c r="BN34" s="73">
        <f t="shared" si="6"/>
        <v>681777.44720062602</v>
      </c>
      <c r="BO34" s="73">
        <f t="shared" si="7"/>
        <v>2104427.185431743</v>
      </c>
    </row>
    <row r="35" spans="1:67" x14ac:dyDescent="0.25">
      <c r="A35" s="84" t="s">
        <v>275</v>
      </c>
      <c r="B35" s="84"/>
      <c r="C35" s="84"/>
      <c r="D35" s="84"/>
      <c r="E35" s="84"/>
      <c r="F35" s="84"/>
      <c r="G35" s="84"/>
      <c r="H35" s="84">
        <v>543050</v>
      </c>
      <c r="I35" s="84">
        <v>2009049</v>
      </c>
      <c r="J35" s="84">
        <v>88405</v>
      </c>
      <c r="K35" s="84">
        <v>344543</v>
      </c>
      <c r="L35" s="84">
        <v>41233</v>
      </c>
      <c r="M35" s="84">
        <v>178849</v>
      </c>
      <c r="N35" s="84"/>
      <c r="O35" s="84"/>
      <c r="P35" s="84">
        <v>10141</v>
      </c>
      <c r="Q35" s="84">
        <v>14359</v>
      </c>
      <c r="R35" s="84">
        <v>114814</v>
      </c>
      <c r="S35" s="84">
        <v>410206</v>
      </c>
      <c r="T35" s="84">
        <v>32164</v>
      </c>
      <c r="U35" s="84">
        <v>86014</v>
      </c>
      <c r="V35" s="84">
        <v>-363984</v>
      </c>
      <c r="W35" s="84">
        <v>-1321029</v>
      </c>
      <c r="X35" s="84">
        <v>791386</v>
      </c>
      <c r="Y35" s="84">
        <v>2847242</v>
      </c>
      <c r="Z35" s="84">
        <v>253514</v>
      </c>
      <c r="AA35" s="84">
        <v>875810</v>
      </c>
      <c r="AB35" s="84">
        <v>4984</v>
      </c>
      <c r="AC35" s="84">
        <v>10825</v>
      </c>
      <c r="AD35" s="84">
        <v>40692</v>
      </c>
      <c r="AE35" s="84">
        <v>239574</v>
      </c>
      <c r="AF35" s="84">
        <v>-26758</v>
      </c>
      <c r="AG35" s="84">
        <v>-73777</v>
      </c>
      <c r="AH35" s="84"/>
      <c r="AI35" s="84"/>
      <c r="AJ35" s="84"/>
      <c r="AK35" s="84"/>
      <c r="AL35" s="84">
        <v>321822.69031277101</v>
      </c>
      <c r="AM35" s="84">
        <v>933721.80558917101</v>
      </c>
      <c r="AN35" s="84">
        <v>-19</v>
      </c>
      <c r="AO35" s="84">
        <v>-69</v>
      </c>
      <c r="AP35" s="84">
        <v>4189</v>
      </c>
      <c r="AQ35" s="84">
        <v>9837</v>
      </c>
      <c r="AR35" s="84">
        <v>214871</v>
      </c>
      <c r="AS35" s="84">
        <v>1091291</v>
      </c>
      <c r="AT35" s="84"/>
      <c r="AU35" s="84"/>
      <c r="AV35" s="84">
        <v>-122487</v>
      </c>
      <c r="AW35" s="84">
        <v>-566616</v>
      </c>
      <c r="AX35" s="84">
        <v>67888</v>
      </c>
      <c r="AY35" s="84">
        <v>258890</v>
      </c>
      <c r="AZ35" s="84">
        <v>22699</v>
      </c>
      <c r="BA35" s="84">
        <v>75107</v>
      </c>
      <c r="BB35" s="84"/>
      <c r="BC35" s="84"/>
      <c r="BD35" s="103">
        <v>217441</v>
      </c>
      <c r="BE35" s="103">
        <v>730651</v>
      </c>
      <c r="BF35" s="84">
        <v>1182128</v>
      </c>
      <c r="BG35" s="84">
        <v>3995122</v>
      </c>
      <c r="BH35" s="103">
        <v>540090</v>
      </c>
      <c r="BI35" s="103">
        <v>1173885</v>
      </c>
      <c r="BJ35" s="103">
        <v>566661</v>
      </c>
      <c r="BK35" s="103">
        <v>1922977</v>
      </c>
      <c r="BL35" s="103">
        <v>12908</v>
      </c>
      <c r="BM35" s="103">
        <v>69920</v>
      </c>
      <c r="BN35" s="73">
        <f t="shared" si="6"/>
        <v>4557832.6903127711</v>
      </c>
      <c r="BO35" s="73">
        <f t="shared" si="7"/>
        <v>15316381.805589171</v>
      </c>
    </row>
    <row r="36" spans="1:67" x14ac:dyDescent="0.25">
      <c r="A36" s="84" t="s">
        <v>229</v>
      </c>
      <c r="B36" s="84"/>
      <c r="C36" s="84"/>
      <c r="D36" s="84"/>
      <c r="E36" s="84"/>
      <c r="F36" s="84"/>
      <c r="G36" s="84"/>
      <c r="H36" s="84">
        <v>66509</v>
      </c>
      <c r="I36" s="84">
        <v>247189</v>
      </c>
      <c r="J36" s="84">
        <v>17844</v>
      </c>
      <c r="K36" s="84">
        <v>72873</v>
      </c>
      <c r="L36" s="84">
        <v>34583</v>
      </c>
      <c r="M36" s="84">
        <v>127505</v>
      </c>
      <c r="N36" s="84"/>
      <c r="O36" s="84"/>
      <c r="P36" s="84">
        <v>1173</v>
      </c>
      <c r="Q36" s="84">
        <v>4307</v>
      </c>
      <c r="R36" s="84">
        <v>30264</v>
      </c>
      <c r="S36" s="84">
        <v>96649</v>
      </c>
      <c r="T36" s="84">
        <v>4974</v>
      </c>
      <c r="U36" s="84">
        <v>22493</v>
      </c>
      <c r="V36" s="84">
        <v>68245</v>
      </c>
      <c r="W36" s="84">
        <v>515258</v>
      </c>
      <c r="X36" s="84">
        <v>316716</v>
      </c>
      <c r="Y36" s="84">
        <v>1334278</v>
      </c>
      <c r="Z36" s="84">
        <v>49795</v>
      </c>
      <c r="AA36" s="84">
        <v>172085</v>
      </c>
      <c r="AB36" s="84">
        <v>1421</v>
      </c>
      <c r="AC36" s="84">
        <v>5385</v>
      </c>
      <c r="AD36" s="84">
        <v>20587</v>
      </c>
      <c r="AE36" s="84">
        <v>42422</v>
      </c>
      <c r="AF36" s="84">
        <v>1839</v>
      </c>
      <c r="AG36" s="84">
        <v>11579</v>
      </c>
      <c r="AH36" s="84"/>
      <c r="AI36" s="84"/>
      <c r="AJ36" s="84"/>
      <c r="AK36" s="84"/>
      <c r="AL36" s="84">
        <v>776355.27312587074</v>
      </c>
      <c r="AM36" s="84">
        <v>2193021.1540187937</v>
      </c>
      <c r="AN36" s="84">
        <v>158</v>
      </c>
      <c r="AO36" s="84">
        <v>735</v>
      </c>
      <c r="AP36" s="84">
        <v>1425</v>
      </c>
      <c r="AQ36" s="84">
        <v>2782</v>
      </c>
      <c r="AR36" s="84">
        <v>62138</v>
      </c>
      <c r="AS36" s="84">
        <v>339638</v>
      </c>
      <c r="AT36" s="84"/>
      <c r="AU36" s="84"/>
      <c r="AV36" s="84">
        <v>24465</v>
      </c>
      <c r="AW36" s="84">
        <v>99456</v>
      </c>
      <c r="AX36" s="84">
        <v>52510</v>
      </c>
      <c r="AY36" s="84">
        <v>162113</v>
      </c>
      <c r="AZ36" s="84">
        <v>19341</v>
      </c>
      <c r="BA36" s="84">
        <v>78947</v>
      </c>
      <c r="BB36" s="84"/>
      <c r="BC36" s="84"/>
      <c r="BD36" s="103">
        <v>27993</v>
      </c>
      <c r="BE36" s="103">
        <v>91807</v>
      </c>
      <c r="BF36" s="84">
        <v>1232330</v>
      </c>
      <c r="BG36" s="84">
        <v>3618789</v>
      </c>
      <c r="BH36" s="103">
        <v>596965</v>
      </c>
      <c r="BI36" s="103">
        <v>1861713</v>
      </c>
      <c r="BJ36" s="103">
        <v>568138</v>
      </c>
      <c r="BK36" s="103">
        <v>2152727</v>
      </c>
      <c r="BL36" s="103">
        <v>3108</v>
      </c>
      <c r="BM36" s="103">
        <v>15827</v>
      </c>
      <c r="BN36" s="73">
        <f t="shared" si="6"/>
        <v>3978876.2731258706</v>
      </c>
      <c r="BO36" s="73">
        <f t="shared" si="7"/>
        <v>13269578.154018793</v>
      </c>
    </row>
    <row r="37" spans="1:67" x14ac:dyDescent="0.25">
      <c r="A37" s="84" t="s">
        <v>230</v>
      </c>
      <c r="B37" s="84"/>
      <c r="C37" s="84"/>
      <c r="D37" s="84"/>
      <c r="E37" s="84"/>
      <c r="F37" s="84"/>
      <c r="G37" s="84"/>
      <c r="H37" s="84">
        <v>48474</v>
      </c>
      <c r="I37" s="84">
        <v>238101</v>
      </c>
      <c r="J37" s="84">
        <v>17600</v>
      </c>
      <c r="K37" s="84">
        <v>75484</v>
      </c>
      <c r="L37" s="84">
        <v>34147</v>
      </c>
      <c r="M37" s="84">
        <v>131470</v>
      </c>
      <c r="N37" s="84"/>
      <c r="O37" s="84"/>
      <c r="P37" s="84">
        <v>364</v>
      </c>
      <c r="Q37" s="84">
        <v>2690</v>
      </c>
      <c r="R37" s="84">
        <v>29955</v>
      </c>
      <c r="S37" s="84">
        <v>101163</v>
      </c>
      <c r="T37" s="84">
        <v>3213</v>
      </c>
      <c r="U37" s="84">
        <v>20381</v>
      </c>
      <c r="V37" s="84">
        <v>129029</v>
      </c>
      <c r="W37" s="84">
        <v>614271</v>
      </c>
      <c r="X37" s="84">
        <v>299271</v>
      </c>
      <c r="Y37" s="84">
        <v>1158076</v>
      </c>
      <c r="Z37" s="84">
        <v>44561</v>
      </c>
      <c r="AA37" s="84">
        <v>173206</v>
      </c>
      <c r="AB37" s="84">
        <v>1292</v>
      </c>
      <c r="AC37" s="84">
        <v>5231</v>
      </c>
      <c r="AD37" s="84">
        <v>10223</v>
      </c>
      <c r="AE37" s="84">
        <v>45784</v>
      </c>
      <c r="AF37" s="84">
        <v>1838</v>
      </c>
      <c r="AG37" s="84">
        <v>14043</v>
      </c>
      <c r="AH37" s="84"/>
      <c r="AI37" s="84"/>
      <c r="AJ37" s="84"/>
      <c r="AK37" s="84"/>
      <c r="AL37" s="84">
        <v>691580.97612587071</v>
      </c>
      <c r="AM37" s="84">
        <v>2176826.3470187937</v>
      </c>
      <c r="AN37" s="84">
        <v>184</v>
      </c>
      <c r="AO37" s="84">
        <v>1046</v>
      </c>
      <c r="AP37" s="84">
        <v>571</v>
      </c>
      <c r="AQ37" s="84">
        <v>2318</v>
      </c>
      <c r="AR37" s="84">
        <v>90808</v>
      </c>
      <c r="AS37" s="84">
        <v>345116</v>
      </c>
      <c r="AT37" s="84"/>
      <c r="AU37" s="84"/>
      <c r="AV37" s="84">
        <v>26302</v>
      </c>
      <c r="AW37" s="84">
        <v>101204</v>
      </c>
      <c r="AX37" s="84">
        <v>44246</v>
      </c>
      <c r="AY37" s="84">
        <v>153698</v>
      </c>
      <c r="AZ37" s="84">
        <v>17552</v>
      </c>
      <c r="BA37" s="84">
        <v>86943</v>
      </c>
      <c r="BB37" s="84"/>
      <c r="BC37" s="84"/>
      <c r="BD37" s="103">
        <v>18980</v>
      </c>
      <c r="BE37" s="103">
        <v>62195</v>
      </c>
      <c r="BF37" s="84">
        <v>869207</v>
      </c>
      <c r="BG37" s="84">
        <v>3142741</v>
      </c>
      <c r="BH37" s="103">
        <v>475707</v>
      </c>
      <c r="BI37" s="103">
        <v>1831827</v>
      </c>
      <c r="BJ37" s="103">
        <v>473881</v>
      </c>
      <c r="BK37" s="103">
        <v>1854683</v>
      </c>
      <c r="BL37" s="103">
        <v>3903</v>
      </c>
      <c r="BM37" s="103">
        <v>17238</v>
      </c>
      <c r="BN37" s="73">
        <f t="shared" si="6"/>
        <v>3332888.9761258708</v>
      </c>
      <c r="BO37" s="73">
        <f t="shared" si="7"/>
        <v>12355735.347018793</v>
      </c>
    </row>
    <row r="39" spans="1:67" x14ac:dyDescent="0.25">
      <c r="A39" s="24" t="s">
        <v>220</v>
      </c>
    </row>
    <row r="40" spans="1:67" x14ac:dyDescent="0.25">
      <c r="A40" s="1" t="s">
        <v>0</v>
      </c>
      <c r="B40" s="119" t="s">
        <v>1</v>
      </c>
      <c r="C40" s="120"/>
      <c r="D40" s="119" t="s">
        <v>282</v>
      </c>
      <c r="E40" s="120"/>
      <c r="F40" s="119" t="s">
        <v>2</v>
      </c>
      <c r="G40" s="120"/>
      <c r="H40" s="119" t="s">
        <v>3</v>
      </c>
      <c r="I40" s="120"/>
      <c r="J40" s="119" t="s">
        <v>4</v>
      </c>
      <c r="K40" s="120"/>
      <c r="L40" s="119" t="s">
        <v>283</v>
      </c>
      <c r="M40" s="120"/>
      <c r="N40" s="119" t="s">
        <v>6</v>
      </c>
      <c r="O40" s="120"/>
      <c r="P40" s="119" t="s">
        <v>5</v>
      </c>
      <c r="Q40" s="120"/>
      <c r="R40" s="119" t="s">
        <v>7</v>
      </c>
      <c r="S40" s="120"/>
      <c r="T40" s="119" t="s">
        <v>284</v>
      </c>
      <c r="U40" s="120"/>
      <c r="V40" s="119" t="s">
        <v>8</v>
      </c>
      <c r="W40" s="120"/>
      <c r="X40" s="119" t="s">
        <v>9</v>
      </c>
      <c r="Y40" s="120"/>
      <c r="Z40" s="119" t="s">
        <v>10</v>
      </c>
      <c r="AA40" s="120"/>
      <c r="AB40" s="119" t="s">
        <v>293</v>
      </c>
      <c r="AC40" s="120"/>
      <c r="AD40" s="119" t="s">
        <v>11</v>
      </c>
      <c r="AE40" s="120"/>
      <c r="AF40" s="119" t="s">
        <v>12</v>
      </c>
      <c r="AG40" s="120"/>
      <c r="AH40" s="119" t="s">
        <v>285</v>
      </c>
      <c r="AI40" s="120"/>
      <c r="AJ40" s="119" t="s">
        <v>290</v>
      </c>
      <c r="AK40" s="120"/>
      <c r="AL40" s="119" t="s">
        <v>13</v>
      </c>
      <c r="AM40" s="120"/>
      <c r="AN40" s="119" t="s">
        <v>286</v>
      </c>
      <c r="AO40" s="120"/>
      <c r="AP40" s="119" t="s">
        <v>287</v>
      </c>
      <c r="AQ40" s="120"/>
      <c r="AR40" s="119" t="s">
        <v>291</v>
      </c>
      <c r="AS40" s="120"/>
      <c r="AT40" s="119" t="s">
        <v>294</v>
      </c>
      <c r="AU40" s="120"/>
      <c r="AV40" s="119" t="s">
        <v>14</v>
      </c>
      <c r="AW40" s="120"/>
      <c r="AX40" s="119" t="s">
        <v>15</v>
      </c>
      <c r="AY40" s="120"/>
      <c r="AZ40" s="119" t="s">
        <v>16</v>
      </c>
      <c r="BA40" s="120"/>
      <c r="BB40" s="119" t="s">
        <v>17</v>
      </c>
      <c r="BC40" s="120"/>
      <c r="BD40" s="119" t="s">
        <v>18</v>
      </c>
      <c r="BE40" s="120"/>
      <c r="BF40" s="119" t="s">
        <v>288</v>
      </c>
      <c r="BG40" s="120"/>
      <c r="BH40" s="119" t="s">
        <v>289</v>
      </c>
      <c r="BI40" s="120"/>
      <c r="BJ40" s="119" t="s">
        <v>19</v>
      </c>
      <c r="BK40" s="120"/>
      <c r="BL40" s="119" t="s">
        <v>20</v>
      </c>
      <c r="BM40" s="120"/>
      <c r="BN40" s="121" t="s">
        <v>21</v>
      </c>
      <c r="BO40" s="122"/>
    </row>
    <row r="41" spans="1:67" ht="30" x14ac:dyDescent="0.25">
      <c r="A41" s="1"/>
      <c r="B41" s="57" t="s">
        <v>296</v>
      </c>
      <c r="C41" s="58" t="s">
        <v>297</v>
      </c>
      <c r="D41" s="57" t="s">
        <v>296</v>
      </c>
      <c r="E41" s="58" t="s">
        <v>297</v>
      </c>
      <c r="F41" s="57" t="s">
        <v>296</v>
      </c>
      <c r="G41" s="58" t="s">
        <v>297</v>
      </c>
      <c r="H41" s="57" t="s">
        <v>296</v>
      </c>
      <c r="I41" s="58" t="s">
        <v>297</v>
      </c>
      <c r="J41" s="57" t="s">
        <v>296</v>
      </c>
      <c r="K41" s="58" t="s">
        <v>297</v>
      </c>
      <c r="L41" s="57" t="s">
        <v>296</v>
      </c>
      <c r="M41" s="58" t="s">
        <v>297</v>
      </c>
      <c r="N41" s="57" t="s">
        <v>296</v>
      </c>
      <c r="O41" s="58" t="s">
        <v>297</v>
      </c>
      <c r="P41" s="57" t="s">
        <v>296</v>
      </c>
      <c r="Q41" s="58" t="s">
        <v>297</v>
      </c>
      <c r="R41" s="57" t="s">
        <v>296</v>
      </c>
      <c r="S41" s="58" t="s">
        <v>297</v>
      </c>
      <c r="T41" s="57" t="s">
        <v>296</v>
      </c>
      <c r="U41" s="58" t="s">
        <v>297</v>
      </c>
      <c r="V41" s="57" t="s">
        <v>296</v>
      </c>
      <c r="W41" s="58" t="s">
        <v>297</v>
      </c>
      <c r="X41" s="57" t="s">
        <v>296</v>
      </c>
      <c r="Y41" s="58" t="s">
        <v>297</v>
      </c>
      <c r="Z41" s="57" t="s">
        <v>296</v>
      </c>
      <c r="AA41" s="58" t="s">
        <v>297</v>
      </c>
      <c r="AB41" s="57" t="s">
        <v>296</v>
      </c>
      <c r="AC41" s="58" t="s">
        <v>297</v>
      </c>
      <c r="AD41" s="57" t="s">
        <v>296</v>
      </c>
      <c r="AE41" s="58" t="s">
        <v>297</v>
      </c>
      <c r="AF41" s="57" t="s">
        <v>296</v>
      </c>
      <c r="AG41" s="58" t="s">
        <v>297</v>
      </c>
      <c r="AH41" s="57" t="s">
        <v>296</v>
      </c>
      <c r="AI41" s="58" t="s">
        <v>297</v>
      </c>
      <c r="AJ41" s="57" t="s">
        <v>296</v>
      </c>
      <c r="AK41" s="58" t="s">
        <v>297</v>
      </c>
      <c r="AL41" s="57" t="s">
        <v>296</v>
      </c>
      <c r="AM41" s="58" t="s">
        <v>297</v>
      </c>
      <c r="AN41" s="57" t="s">
        <v>296</v>
      </c>
      <c r="AO41" s="58" t="s">
        <v>297</v>
      </c>
      <c r="AP41" s="57" t="s">
        <v>296</v>
      </c>
      <c r="AQ41" s="58" t="s">
        <v>297</v>
      </c>
      <c r="AR41" s="57" t="s">
        <v>296</v>
      </c>
      <c r="AS41" s="58" t="s">
        <v>297</v>
      </c>
      <c r="AT41" s="57" t="s">
        <v>296</v>
      </c>
      <c r="AU41" s="58" t="s">
        <v>297</v>
      </c>
      <c r="AV41" s="57" t="s">
        <v>296</v>
      </c>
      <c r="AW41" s="58" t="s">
        <v>297</v>
      </c>
      <c r="AX41" s="57" t="s">
        <v>296</v>
      </c>
      <c r="AY41" s="58" t="s">
        <v>297</v>
      </c>
      <c r="AZ41" s="57" t="s">
        <v>296</v>
      </c>
      <c r="BA41" s="58" t="s">
        <v>297</v>
      </c>
      <c r="BB41" s="57" t="s">
        <v>296</v>
      </c>
      <c r="BC41" s="58" t="s">
        <v>297</v>
      </c>
      <c r="BD41" s="57" t="s">
        <v>296</v>
      </c>
      <c r="BE41" s="58" t="s">
        <v>297</v>
      </c>
      <c r="BF41" s="57" t="s">
        <v>296</v>
      </c>
      <c r="BG41" s="58" t="s">
        <v>297</v>
      </c>
      <c r="BH41" s="57" t="s">
        <v>296</v>
      </c>
      <c r="BI41" s="58" t="s">
        <v>297</v>
      </c>
      <c r="BJ41" s="57" t="s">
        <v>296</v>
      </c>
      <c r="BK41" s="58" t="s">
        <v>297</v>
      </c>
      <c r="BL41" s="57" t="s">
        <v>296</v>
      </c>
      <c r="BM41" s="58" t="s">
        <v>297</v>
      </c>
      <c r="BN41" s="57" t="s">
        <v>296</v>
      </c>
      <c r="BO41" s="58" t="s">
        <v>297</v>
      </c>
    </row>
    <row r="42" spans="1:67" x14ac:dyDescent="0.25">
      <c r="A42" s="84" t="s">
        <v>271</v>
      </c>
      <c r="B42" s="84">
        <v>530307</v>
      </c>
      <c r="C42" s="84">
        <v>1183185</v>
      </c>
      <c r="D42" s="84">
        <v>3878582</v>
      </c>
      <c r="E42" s="84">
        <v>11658420</v>
      </c>
      <c r="F42" s="84"/>
      <c r="G42" s="84"/>
      <c r="H42" s="84">
        <v>4828981</v>
      </c>
      <c r="I42" s="84">
        <v>21001526</v>
      </c>
      <c r="J42" s="84">
        <v>956602</v>
      </c>
      <c r="K42" s="84">
        <v>4087473</v>
      </c>
      <c r="L42" s="84">
        <v>848826</v>
      </c>
      <c r="M42" s="84">
        <v>4143659</v>
      </c>
      <c r="N42" s="84"/>
      <c r="O42" s="84"/>
      <c r="P42" s="84">
        <v>149983</v>
      </c>
      <c r="Q42" s="84">
        <v>841928</v>
      </c>
      <c r="R42" s="84">
        <v>1715649</v>
      </c>
      <c r="S42" s="84">
        <v>4493406</v>
      </c>
      <c r="T42" s="84">
        <v>308115</v>
      </c>
      <c r="U42" s="84">
        <v>1859618</v>
      </c>
      <c r="V42" s="84">
        <v>12789820</v>
      </c>
      <c r="W42" s="84">
        <v>37416320</v>
      </c>
      <c r="X42" s="84">
        <v>6461084</v>
      </c>
      <c r="Y42" s="84">
        <v>26907790</v>
      </c>
      <c r="Z42" s="84">
        <v>3034296</v>
      </c>
      <c r="AA42" s="84">
        <v>15625488</v>
      </c>
      <c r="AB42" s="84">
        <v>460653</v>
      </c>
      <c r="AC42" s="84">
        <v>1791686</v>
      </c>
      <c r="AD42" s="84">
        <v>639018</v>
      </c>
      <c r="AE42" s="84">
        <v>2280714</v>
      </c>
      <c r="AF42" s="84">
        <v>215097</v>
      </c>
      <c r="AG42" s="84">
        <v>762078</v>
      </c>
      <c r="AH42" s="103">
        <v>2227799</v>
      </c>
      <c r="AI42" s="103">
        <v>7457982</v>
      </c>
      <c r="AJ42" s="84">
        <v>5658367</v>
      </c>
      <c r="AK42" s="84">
        <v>16697189</v>
      </c>
      <c r="AL42" s="84">
        <v>11509599.910707057</v>
      </c>
      <c r="AM42" s="84">
        <v>55509889.082662538</v>
      </c>
      <c r="AN42" s="84">
        <v>66052</v>
      </c>
      <c r="AO42" s="84">
        <v>205984</v>
      </c>
      <c r="AP42" s="84">
        <v>1496</v>
      </c>
      <c r="AQ42" s="84">
        <v>192031</v>
      </c>
      <c r="AR42" s="84">
        <v>1403109</v>
      </c>
      <c r="AS42" s="84">
        <v>9014996</v>
      </c>
      <c r="AT42" s="84">
        <v>7277370</v>
      </c>
      <c r="AU42" s="84">
        <v>23340563</v>
      </c>
      <c r="AV42" s="84">
        <v>911535</v>
      </c>
      <c r="AW42" s="84">
        <v>3436786</v>
      </c>
      <c r="AX42" s="84">
        <v>5360082</v>
      </c>
      <c r="AY42" s="84">
        <v>12567629</v>
      </c>
      <c r="AZ42" s="84">
        <v>30747</v>
      </c>
      <c r="BA42" s="84">
        <v>47493</v>
      </c>
      <c r="BB42" s="84"/>
      <c r="BC42" s="84"/>
      <c r="BD42" s="103">
        <v>3411916</v>
      </c>
      <c r="BE42" s="103">
        <v>11494026</v>
      </c>
      <c r="BF42" s="84">
        <v>31103941</v>
      </c>
      <c r="BG42" s="84">
        <v>109277991</v>
      </c>
      <c r="BH42" s="103">
        <v>12383541</v>
      </c>
      <c r="BI42" s="103">
        <v>48208708</v>
      </c>
      <c r="BJ42" s="103">
        <v>20340834</v>
      </c>
      <c r="BK42" s="103">
        <v>62415302</v>
      </c>
      <c r="BL42" s="103">
        <v>557494</v>
      </c>
      <c r="BM42" s="103">
        <v>2449157</v>
      </c>
      <c r="BN42" s="73">
        <f t="shared" ref="BN42:BN46" si="8">SUM(B42+D42+F42+H42+J42+L42+N42+P42+R42+T42+V42+X42+Z42+AB42+AD42+AF42+AH42+AJ42+AL42+AN42+AP42+AR42+AT42+AV42+AX42+AZ42+BB42+BD42+BF42+BH42+BJ42+BL42)</f>
        <v>139060895.91070706</v>
      </c>
      <c r="BO42" s="73">
        <f t="shared" ref="BO42:BO46" si="9">SUM(C42+E42+G42+I42+K42+M42+O42+Q42+S42+U42+W42+Y42+AA42+AC42+AE42+AG42+AI42+AK42+AM42+AO42+AQ42+AS42+AU42+AW42+AY42+BA42+BC42+BE42+BG42+BI42+BK42+BM42)</f>
        <v>496369017.08266252</v>
      </c>
    </row>
    <row r="43" spans="1:67" x14ac:dyDescent="0.25">
      <c r="A43" s="84" t="s">
        <v>274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>
        <v>12832</v>
      </c>
      <c r="Q43" s="84">
        <v>13895</v>
      </c>
      <c r="R43" s="84"/>
      <c r="S43" s="84"/>
      <c r="T43" s="84"/>
      <c r="U43" s="84"/>
      <c r="V43" s="84"/>
      <c r="W43" s="84"/>
      <c r="X43" s="84">
        <v>475131</v>
      </c>
      <c r="Y43" s="84">
        <v>1341798</v>
      </c>
      <c r="Z43" s="84"/>
      <c r="AA43" s="84"/>
      <c r="AB43" s="84"/>
      <c r="AC43" s="84"/>
      <c r="AD43" s="84"/>
      <c r="AE43" s="84"/>
      <c r="AF43" s="84"/>
      <c r="AG43" s="84">
        <v>-6</v>
      </c>
      <c r="AH43" s="103"/>
      <c r="AI43" s="103"/>
      <c r="AJ43" s="84"/>
      <c r="AK43" s="84"/>
      <c r="AL43" s="84">
        <v>872464.90599999996</v>
      </c>
      <c r="AM43" s="84">
        <v>872464.90599999996</v>
      </c>
      <c r="AN43" s="84"/>
      <c r="AO43" s="84"/>
      <c r="AP43" s="84"/>
      <c r="AQ43" s="84"/>
      <c r="AR43" s="84"/>
      <c r="AS43" s="84"/>
      <c r="AT43" s="84">
        <v>62437</v>
      </c>
      <c r="AU43" s="84">
        <v>282682</v>
      </c>
      <c r="AV43" s="84"/>
      <c r="AW43" s="84"/>
      <c r="AX43" s="84"/>
      <c r="AY43" s="84">
        <v>347267</v>
      </c>
      <c r="AZ43" s="84"/>
      <c r="BA43" s="84"/>
      <c r="BB43" s="84"/>
      <c r="BC43" s="84"/>
      <c r="BD43" s="103"/>
      <c r="BE43" s="103"/>
      <c r="BF43" s="84">
        <v>240703</v>
      </c>
      <c r="BG43" s="84">
        <v>463496</v>
      </c>
      <c r="BH43" s="103">
        <v>872480</v>
      </c>
      <c r="BI43" s="103">
        <v>869880</v>
      </c>
      <c r="BJ43" s="84"/>
      <c r="BK43" s="84"/>
      <c r="BL43" s="103"/>
      <c r="BM43" s="103"/>
      <c r="BN43" s="73">
        <f t="shared" si="8"/>
        <v>2536047.906</v>
      </c>
      <c r="BO43" s="73">
        <f t="shared" si="9"/>
        <v>4191476.906</v>
      </c>
    </row>
    <row r="44" spans="1:67" x14ac:dyDescent="0.25">
      <c r="A44" s="84" t="s">
        <v>275</v>
      </c>
      <c r="B44" s="84">
        <v>28530</v>
      </c>
      <c r="C44" s="84">
        <v>68091</v>
      </c>
      <c r="D44" s="84">
        <v>902432</v>
      </c>
      <c r="E44" s="84">
        <v>2914806</v>
      </c>
      <c r="F44" s="84"/>
      <c r="G44" s="84"/>
      <c r="H44" s="84">
        <v>771096</v>
      </c>
      <c r="I44" s="84">
        <v>4525180</v>
      </c>
      <c r="J44" s="84">
        <v>305767</v>
      </c>
      <c r="K44" s="84">
        <v>826680</v>
      </c>
      <c r="L44" s="84">
        <v>200019</v>
      </c>
      <c r="M44" s="84">
        <v>835411</v>
      </c>
      <c r="N44" s="84"/>
      <c r="O44" s="84"/>
      <c r="P44" s="84">
        <v>37860</v>
      </c>
      <c r="Q44" s="84">
        <v>82850</v>
      </c>
      <c r="R44" s="84">
        <v>382520</v>
      </c>
      <c r="S44" s="84">
        <v>1208626</v>
      </c>
      <c r="T44" s="84">
        <v>25405</v>
      </c>
      <c r="U44" s="84">
        <v>499077</v>
      </c>
      <c r="V44" s="84">
        <v>-4163572</v>
      </c>
      <c r="W44" s="84">
        <v>-12520098</v>
      </c>
      <c r="X44" s="84">
        <v>953603</v>
      </c>
      <c r="Y44" s="84">
        <v>5055361</v>
      </c>
      <c r="Z44" s="84">
        <v>412199</v>
      </c>
      <c r="AA44" s="84">
        <v>2430446</v>
      </c>
      <c r="AB44" s="84">
        <v>24327</v>
      </c>
      <c r="AC44" s="84">
        <v>94087</v>
      </c>
      <c r="AD44" s="84">
        <v>37891</v>
      </c>
      <c r="AE44" s="84">
        <v>126296</v>
      </c>
      <c r="AF44" s="84">
        <v>-35629</v>
      </c>
      <c r="AG44" s="84">
        <v>-109775</v>
      </c>
      <c r="AH44" s="103">
        <v>115112</v>
      </c>
      <c r="AI44" s="103">
        <v>384499</v>
      </c>
      <c r="AJ44" s="84">
        <v>1365510</v>
      </c>
      <c r="AK44" s="84">
        <v>3945219</v>
      </c>
      <c r="AL44" s="84">
        <v>633912.41239841096</v>
      </c>
      <c r="AM44" s="84">
        <v>4589209.5903325081</v>
      </c>
      <c r="AN44" s="84">
        <v>-19920</v>
      </c>
      <c r="AO44" s="84">
        <v>-64408</v>
      </c>
      <c r="AP44" s="84">
        <v>75</v>
      </c>
      <c r="AQ44" s="84">
        <v>9602</v>
      </c>
      <c r="AR44" s="84">
        <v>281644</v>
      </c>
      <c r="AS44" s="84">
        <v>1892085</v>
      </c>
      <c r="AT44" s="84">
        <v>1809184</v>
      </c>
      <c r="AU44" s="84">
        <v>5930730</v>
      </c>
      <c r="AV44" s="84">
        <v>-150236</v>
      </c>
      <c r="AW44" s="84">
        <v>-689331</v>
      </c>
      <c r="AX44" s="84">
        <v>268004</v>
      </c>
      <c r="AY44" s="84">
        <v>628381</v>
      </c>
      <c r="AZ44" s="84">
        <v>2595</v>
      </c>
      <c r="BA44" s="84">
        <v>3801</v>
      </c>
      <c r="BB44" s="84"/>
      <c r="BC44" s="84"/>
      <c r="BD44" s="103">
        <v>647699</v>
      </c>
      <c r="BE44" s="103">
        <v>1690002</v>
      </c>
      <c r="BF44" s="84">
        <v>4581245</v>
      </c>
      <c r="BG44" s="84">
        <v>8422875</v>
      </c>
      <c r="BH44" s="103">
        <v>553343</v>
      </c>
      <c r="BI44" s="103">
        <v>2251481</v>
      </c>
      <c r="BJ44" s="103">
        <v>1026672</v>
      </c>
      <c r="BK44" s="103">
        <v>3967169</v>
      </c>
      <c r="BL44" s="103">
        <v>29384</v>
      </c>
      <c r="BM44" s="103">
        <v>127768</v>
      </c>
      <c r="BN44" s="73">
        <f t="shared" si="8"/>
        <v>11026671.412398411</v>
      </c>
      <c r="BO44" s="73">
        <f t="shared" si="9"/>
        <v>39126120.590332508</v>
      </c>
    </row>
    <row r="45" spans="1:67" x14ac:dyDescent="0.25">
      <c r="A45" s="84" t="s">
        <v>229</v>
      </c>
      <c r="B45" s="84">
        <v>501777</v>
      </c>
      <c r="C45" s="84">
        <v>1115094</v>
      </c>
      <c r="D45" s="84">
        <v>2976150</v>
      </c>
      <c r="E45" s="84">
        <v>8743614</v>
      </c>
      <c r="F45" s="84"/>
      <c r="G45" s="84"/>
      <c r="H45" s="84">
        <v>4057885</v>
      </c>
      <c r="I45" s="84">
        <v>16476346</v>
      </c>
      <c r="J45" s="84">
        <v>650835</v>
      </c>
      <c r="K45" s="84">
        <v>3260793</v>
      </c>
      <c r="L45" s="84">
        <v>648807</v>
      </c>
      <c r="M45" s="84">
        <v>3308248</v>
      </c>
      <c r="N45" s="84"/>
      <c r="O45" s="84"/>
      <c r="P45" s="84">
        <v>124955</v>
      </c>
      <c r="Q45" s="84">
        <v>772973</v>
      </c>
      <c r="R45" s="84">
        <v>1333129</v>
      </c>
      <c r="S45" s="84">
        <v>3284780</v>
      </c>
      <c r="T45" s="84">
        <v>282710</v>
      </c>
      <c r="U45" s="84">
        <v>1360541</v>
      </c>
      <c r="V45" s="84">
        <v>8626248</v>
      </c>
      <c r="W45" s="84">
        <v>24896222</v>
      </c>
      <c r="X45" s="84">
        <v>5982612</v>
      </c>
      <c r="Y45" s="84">
        <v>23194227</v>
      </c>
      <c r="Z45" s="84">
        <v>2622097</v>
      </c>
      <c r="AA45" s="84">
        <v>13195042</v>
      </c>
      <c r="AB45" s="84">
        <v>436326</v>
      </c>
      <c r="AC45" s="84">
        <v>1697599</v>
      </c>
      <c r="AD45" s="84">
        <v>601127</v>
      </c>
      <c r="AE45" s="84">
        <v>2154417</v>
      </c>
      <c r="AF45" s="84">
        <v>179468</v>
      </c>
      <c r="AG45" s="84">
        <v>652297</v>
      </c>
      <c r="AH45" s="103">
        <v>2112687</v>
      </c>
      <c r="AI45" s="103">
        <v>7073483</v>
      </c>
      <c r="AJ45" s="84">
        <v>4292857</v>
      </c>
      <c r="AK45" s="84">
        <v>12751970</v>
      </c>
      <c r="AL45" s="84">
        <v>11748152.404308645</v>
      </c>
      <c r="AM45" s="84">
        <v>51793144.398330033</v>
      </c>
      <c r="AN45" s="84">
        <v>46132</v>
      </c>
      <c r="AO45" s="84">
        <v>141576</v>
      </c>
      <c r="AP45" s="84">
        <v>1421</v>
      </c>
      <c r="AQ45" s="84">
        <v>182430</v>
      </c>
      <c r="AR45" s="84">
        <v>1121465</v>
      </c>
      <c r="AS45" s="84">
        <v>7122911</v>
      </c>
      <c r="AT45" s="84">
        <v>5530623</v>
      </c>
      <c r="AU45" s="84">
        <v>17692515</v>
      </c>
      <c r="AV45" s="84">
        <v>761299</v>
      </c>
      <c r="AW45" s="84">
        <v>2747455</v>
      </c>
      <c r="AX45" s="84">
        <v>5092078</v>
      </c>
      <c r="AY45" s="84">
        <v>12286515</v>
      </c>
      <c r="AZ45" s="84">
        <v>28153</v>
      </c>
      <c r="BA45" s="84">
        <v>43692</v>
      </c>
      <c r="BB45" s="84"/>
      <c r="BC45" s="84"/>
      <c r="BD45" s="103">
        <v>2764217</v>
      </c>
      <c r="BE45" s="103">
        <v>9804024</v>
      </c>
      <c r="BF45" s="84">
        <v>26763399</v>
      </c>
      <c r="BG45" s="84">
        <v>101318613</v>
      </c>
      <c r="BH45" s="103">
        <v>12702678</v>
      </c>
      <c r="BI45" s="103">
        <v>46827107</v>
      </c>
      <c r="BJ45" s="103">
        <v>19314162</v>
      </c>
      <c r="BK45" s="103">
        <v>58448133</v>
      </c>
      <c r="BL45" s="103">
        <v>528110</v>
      </c>
      <c r="BM45" s="103">
        <v>2321389</v>
      </c>
      <c r="BN45" s="73">
        <f t="shared" si="8"/>
        <v>121831559.40430865</v>
      </c>
      <c r="BO45" s="73">
        <f t="shared" si="9"/>
        <v>434667150.39833003</v>
      </c>
    </row>
    <row r="46" spans="1:67" x14ac:dyDescent="0.25">
      <c r="A46" s="84" t="s">
        <v>230</v>
      </c>
      <c r="B46" s="84">
        <v>315276</v>
      </c>
      <c r="C46" s="84">
        <v>791732</v>
      </c>
      <c r="D46" s="84">
        <v>2634572</v>
      </c>
      <c r="E46" s="84">
        <v>7308992</v>
      </c>
      <c r="F46" s="84"/>
      <c r="G46" s="84"/>
      <c r="H46" s="84">
        <v>4023971</v>
      </c>
      <c r="I46" s="84">
        <v>16091426</v>
      </c>
      <c r="J46" s="84">
        <v>830130</v>
      </c>
      <c r="K46" s="84">
        <v>2831553</v>
      </c>
      <c r="L46" s="84">
        <v>730699</v>
      </c>
      <c r="M46" s="84">
        <v>2876856</v>
      </c>
      <c r="N46" s="84"/>
      <c r="O46" s="84"/>
      <c r="P46" s="84">
        <v>179194</v>
      </c>
      <c r="Q46" s="84">
        <v>688910</v>
      </c>
      <c r="R46" s="84">
        <v>877057</v>
      </c>
      <c r="S46" s="84">
        <v>3142702</v>
      </c>
      <c r="T46" s="84">
        <v>308056</v>
      </c>
      <c r="U46" s="84">
        <v>959815</v>
      </c>
      <c r="V46" s="84">
        <v>5892830</v>
      </c>
      <c r="W46" s="84">
        <v>25036047</v>
      </c>
      <c r="X46" s="84">
        <v>5525674</v>
      </c>
      <c r="Y46" s="84">
        <v>21251880</v>
      </c>
      <c r="Z46" s="84">
        <v>3322272</v>
      </c>
      <c r="AA46" s="84">
        <v>12654675</v>
      </c>
      <c r="AB46" s="84">
        <v>366265</v>
      </c>
      <c r="AC46" s="84">
        <v>1224457</v>
      </c>
      <c r="AD46" s="84">
        <v>545897</v>
      </c>
      <c r="AE46" s="84">
        <v>2290436</v>
      </c>
      <c r="AF46" s="84">
        <v>157684</v>
      </c>
      <c r="AG46" s="84">
        <v>487987</v>
      </c>
      <c r="AH46" s="103">
        <v>1805957</v>
      </c>
      <c r="AI46" s="103">
        <v>6231457</v>
      </c>
      <c r="AJ46" s="84">
        <v>3630299</v>
      </c>
      <c r="AK46" s="84">
        <v>10875418</v>
      </c>
      <c r="AL46" s="84">
        <v>9937768.6303086448</v>
      </c>
      <c r="AM46" s="84">
        <v>40849901.917330034</v>
      </c>
      <c r="AN46" s="84">
        <v>58899</v>
      </c>
      <c r="AO46" s="84">
        <v>248881</v>
      </c>
      <c r="AP46" s="84">
        <v>37992</v>
      </c>
      <c r="AQ46" s="84">
        <v>115602</v>
      </c>
      <c r="AR46" s="84">
        <v>1439277</v>
      </c>
      <c r="AS46" s="84">
        <v>6798879</v>
      </c>
      <c r="AT46" s="84">
        <v>5089034</v>
      </c>
      <c r="AU46" s="84">
        <v>15500581</v>
      </c>
      <c r="AV46" s="84">
        <v>701189</v>
      </c>
      <c r="AW46" s="84">
        <v>2927987</v>
      </c>
      <c r="AX46" s="84">
        <v>2538540</v>
      </c>
      <c r="AY46" s="84">
        <v>9293720</v>
      </c>
      <c r="AZ46" s="84">
        <v>6827</v>
      </c>
      <c r="BA46" s="84">
        <v>11807</v>
      </c>
      <c r="BB46" s="84"/>
      <c r="BC46" s="84"/>
      <c r="BD46" s="103">
        <v>2241458</v>
      </c>
      <c r="BE46" s="103">
        <v>7800527</v>
      </c>
      <c r="BF46" s="84">
        <v>27219346</v>
      </c>
      <c r="BG46" s="84">
        <v>96664290</v>
      </c>
      <c r="BH46" s="103">
        <v>13564442</v>
      </c>
      <c r="BI46" s="103">
        <v>46006138</v>
      </c>
      <c r="BJ46" s="103">
        <v>18161397</v>
      </c>
      <c r="BK46" s="103">
        <v>54311419</v>
      </c>
      <c r="BL46" s="103">
        <v>591288</v>
      </c>
      <c r="BM46" s="103">
        <v>2066166</v>
      </c>
      <c r="BN46" s="73">
        <f t="shared" si="8"/>
        <v>112733290.63030864</v>
      </c>
      <c r="BO46" s="73">
        <f t="shared" si="9"/>
        <v>397340241.91733003</v>
      </c>
    </row>
    <row r="48" spans="1:67" x14ac:dyDescent="0.25">
      <c r="A48" s="24" t="s">
        <v>221</v>
      </c>
    </row>
    <row r="49" spans="1:67" x14ac:dyDescent="0.25">
      <c r="A49" s="1" t="s">
        <v>0</v>
      </c>
      <c r="B49" s="119" t="s">
        <v>1</v>
      </c>
      <c r="C49" s="120"/>
      <c r="D49" s="119" t="s">
        <v>282</v>
      </c>
      <c r="E49" s="120"/>
      <c r="F49" s="119" t="s">
        <v>2</v>
      </c>
      <c r="G49" s="120"/>
      <c r="H49" s="119" t="s">
        <v>3</v>
      </c>
      <c r="I49" s="120"/>
      <c r="J49" s="119" t="s">
        <v>4</v>
      </c>
      <c r="K49" s="120"/>
      <c r="L49" s="119" t="s">
        <v>283</v>
      </c>
      <c r="M49" s="120"/>
      <c r="N49" s="119" t="s">
        <v>6</v>
      </c>
      <c r="O49" s="120"/>
      <c r="P49" s="119" t="s">
        <v>5</v>
      </c>
      <c r="Q49" s="120"/>
      <c r="R49" s="119" t="s">
        <v>7</v>
      </c>
      <c r="S49" s="120"/>
      <c r="T49" s="119" t="s">
        <v>284</v>
      </c>
      <c r="U49" s="120"/>
      <c r="V49" s="119" t="s">
        <v>8</v>
      </c>
      <c r="W49" s="120"/>
      <c r="X49" s="119" t="s">
        <v>9</v>
      </c>
      <c r="Y49" s="120"/>
      <c r="Z49" s="119" t="s">
        <v>10</v>
      </c>
      <c r="AA49" s="120"/>
      <c r="AB49" s="119" t="s">
        <v>293</v>
      </c>
      <c r="AC49" s="120"/>
      <c r="AD49" s="119" t="s">
        <v>11</v>
      </c>
      <c r="AE49" s="120"/>
      <c r="AF49" s="119" t="s">
        <v>12</v>
      </c>
      <c r="AG49" s="120"/>
      <c r="AH49" s="119" t="s">
        <v>285</v>
      </c>
      <c r="AI49" s="120"/>
      <c r="AJ49" s="119" t="s">
        <v>290</v>
      </c>
      <c r="AK49" s="120"/>
      <c r="AL49" s="119" t="s">
        <v>13</v>
      </c>
      <c r="AM49" s="120"/>
      <c r="AN49" s="119" t="s">
        <v>286</v>
      </c>
      <c r="AO49" s="120"/>
      <c r="AP49" s="119" t="s">
        <v>287</v>
      </c>
      <c r="AQ49" s="120"/>
      <c r="AR49" s="119" t="s">
        <v>291</v>
      </c>
      <c r="AS49" s="120"/>
      <c r="AT49" s="119" t="s">
        <v>294</v>
      </c>
      <c r="AU49" s="120"/>
      <c r="AV49" s="119" t="s">
        <v>14</v>
      </c>
      <c r="AW49" s="120"/>
      <c r="AX49" s="119" t="s">
        <v>15</v>
      </c>
      <c r="AY49" s="120"/>
      <c r="AZ49" s="119" t="s">
        <v>16</v>
      </c>
      <c r="BA49" s="120"/>
      <c r="BB49" s="119" t="s">
        <v>17</v>
      </c>
      <c r="BC49" s="120"/>
      <c r="BD49" s="119" t="s">
        <v>18</v>
      </c>
      <c r="BE49" s="120"/>
      <c r="BF49" s="119" t="s">
        <v>288</v>
      </c>
      <c r="BG49" s="120"/>
      <c r="BH49" s="119" t="s">
        <v>289</v>
      </c>
      <c r="BI49" s="120"/>
      <c r="BJ49" s="119" t="s">
        <v>19</v>
      </c>
      <c r="BK49" s="120"/>
      <c r="BL49" s="119" t="s">
        <v>20</v>
      </c>
      <c r="BM49" s="120"/>
      <c r="BN49" s="121" t="s">
        <v>21</v>
      </c>
      <c r="BO49" s="122"/>
    </row>
    <row r="50" spans="1:67" ht="30" x14ac:dyDescent="0.25">
      <c r="A50" s="1"/>
      <c r="B50" s="57" t="s">
        <v>296</v>
      </c>
      <c r="C50" s="58" t="s">
        <v>297</v>
      </c>
      <c r="D50" s="57" t="s">
        <v>296</v>
      </c>
      <c r="E50" s="58" t="s">
        <v>297</v>
      </c>
      <c r="F50" s="57" t="s">
        <v>296</v>
      </c>
      <c r="G50" s="58" t="s">
        <v>297</v>
      </c>
      <c r="H50" s="57" t="s">
        <v>296</v>
      </c>
      <c r="I50" s="58" t="s">
        <v>297</v>
      </c>
      <c r="J50" s="57" t="s">
        <v>296</v>
      </c>
      <c r="K50" s="58" t="s">
        <v>297</v>
      </c>
      <c r="L50" s="57" t="s">
        <v>296</v>
      </c>
      <c r="M50" s="58" t="s">
        <v>297</v>
      </c>
      <c r="N50" s="57" t="s">
        <v>296</v>
      </c>
      <c r="O50" s="58" t="s">
        <v>297</v>
      </c>
      <c r="P50" s="57" t="s">
        <v>296</v>
      </c>
      <c r="Q50" s="58" t="s">
        <v>297</v>
      </c>
      <c r="R50" s="57" t="s">
        <v>296</v>
      </c>
      <c r="S50" s="58" t="s">
        <v>297</v>
      </c>
      <c r="T50" s="57" t="s">
        <v>296</v>
      </c>
      <c r="U50" s="58" t="s">
        <v>297</v>
      </c>
      <c r="V50" s="57" t="s">
        <v>296</v>
      </c>
      <c r="W50" s="58" t="s">
        <v>297</v>
      </c>
      <c r="X50" s="57" t="s">
        <v>296</v>
      </c>
      <c r="Y50" s="58" t="s">
        <v>297</v>
      </c>
      <c r="Z50" s="57" t="s">
        <v>296</v>
      </c>
      <c r="AA50" s="58" t="s">
        <v>297</v>
      </c>
      <c r="AB50" s="57" t="s">
        <v>296</v>
      </c>
      <c r="AC50" s="58" t="s">
        <v>297</v>
      </c>
      <c r="AD50" s="57" t="s">
        <v>296</v>
      </c>
      <c r="AE50" s="58" t="s">
        <v>297</v>
      </c>
      <c r="AF50" s="57" t="s">
        <v>296</v>
      </c>
      <c r="AG50" s="58" t="s">
        <v>297</v>
      </c>
      <c r="AH50" s="57" t="s">
        <v>296</v>
      </c>
      <c r="AI50" s="58" t="s">
        <v>297</v>
      </c>
      <c r="AJ50" s="57" t="s">
        <v>296</v>
      </c>
      <c r="AK50" s="58" t="s">
        <v>297</v>
      </c>
      <c r="AL50" s="57" t="s">
        <v>296</v>
      </c>
      <c r="AM50" s="58" t="s">
        <v>297</v>
      </c>
      <c r="AN50" s="57" t="s">
        <v>296</v>
      </c>
      <c r="AO50" s="58" t="s">
        <v>297</v>
      </c>
      <c r="AP50" s="57" t="s">
        <v>296</v>
      </c>
      <c r="AQ50" s="58" t="s">
        <v>297</v>
      </c>
      <c r="AR50" s="57" t="s">
        <v>296</v>
      </c>
      <c r="AS50" s="58" t="s">
        <v>297</v>
      </c>
      <c r="AT50" s="57" t="s">
        <v>296</v>
      </c>
      <c r="AU50" s="58" t="s">
        <v>297</v>
      </c>
      <c r="AV50" s="57" t="s">
        <v>296</v>
      </c>
      <c r="AW50" s="58" t="s">
        <v>297</v>
      </c>
      <c r="AX50" s="57" t="s">
        <v>296</v>
      </c>
      <c r="AY50" s="58" t="s">
        <v>297</v>
      </c>
      <c r="AZ50" s="57" t="s">
        <v>296</v>
      </c>
      <c r="BA50" s="58" t="s">
        <v>297</v>
      </c>
      <c r="BB50" s="57" t="s">
        <v>296</v>
      </c>
      <c r="BC50" s="58" t="s">
        <v>297</v>
      </c>
      <c r="BD50" s="57" t="s">
        <v>296</v>
      </c>
      <c r="BE50" s="58" t="s">
        <v>297</v>
      </c>
      <c r="BF50" s="57" t="s">
        <v>296</v>
      </c>
      <c r="BG50" s="58" t="s">
        <v>297</v>
      </c>
      <c r="BH50" s="57" t="s">
        <v>296</v>
      </c>
      <c r="BI50" s="58" t="s">
        <v>297</v>
      </c>
      <c r="BJ50" s="57" t="s">
        <v>296</v>
      </c>
      <c r="BK50" s="58" t="s">
        <v>297</v>
      </c>
      <c r="BL50" s="57" t="s">
        <v>296</v>
      </c>
      <c r="BM50" s="58" t="s">
        <v>297</v>
      </c>
      <c r="BN50" s="57" t="s">
        <v>296</v>
      </c>
      <c r="BO50" s="58" t="s">
        <v>297</v>
      </c>
    </row>
    <row r="51" spans="1:67" x14ac:dyDescent="0.25">
      <c r="A51" s="84" t="s">
        <v>271</v>
      </c>
      <c r="B51" s="84">
        <v>10086</v>
      </c>
      <c r="C51" s="84">
        <v>46651</v>
      </c>
      <c r="D51" s="84">
        <v>534555</v>
      </c>
      <c r="E51" s="84">
        <v>1347956</v>
      </c>
      <c r="F51" s="84"/>
      <c r="G51" s="84"/>
      <c r="H51" s="84">
        <v>532983</v>
      </c>
      <c r="I51" s="84">
        <v>2015864</v>
      </c>
      <c r="J51" s="84">
        <v>137283</v>
      </c>
      <c r="K51" s="84">
        <v>480339</v>
      </c>
      <c r="L51" s="84">
        <v>654983</v>
      </c>
      <c r="M51" s="84">
        <v>2478931</v>
      </c>
      <c r="N51" s="84"/>
      <c r="O51" s="84"/>
      <c r="P51" s="84">
        <v>36864</v>
      </c>
      <c r="Q51" s="84">
        <v>47266</v>
      </c>
      <c r="R51" s="84">
        <v>264086</v>
      </c>
      <c r="S51" s="84">
        <v>792527</v>
      </c>
      <c r="T51" s="84">
        <v>120375</v>
      </c>
      <c r="U51" s="84">
        <v>280755</v>
      </c>
      <c r="V51" s="84">
        <v>1618737</v>
      </c>
      <c r="W51" s="84">
        <v>5399683</v>
      </c>
      <c r="X51" s="84">
        <v>911041</v>
      </c>
      <c r="Y51" s="84">
        <v>3305701</v>
      </c>
      <c r="Z51" s="84">
        <v>200458</v>
      </c>
      <c r="AA51" s="84">
        <v>1016932</v>
      </c>
      <c r="AB51" s="84">
        <v>77849</v>
      </c>
      <c r="AC51" s="84">
        <v>285420</v>
      </c>
      <c r="AD51" s="84">
        <v>58777</v>
      </c>
      <c r="AE51" s="84">
        <v>202186</v>
      </c>
      <c r="AF51" s="84">
        <v>12441</v>
      </c>
      <c r="AG51" s="84">
        <v>44130</v>
      </c>
      <c r="AH51" s="103">
        <v>43799</v>
      </c>
      <c r="AI51" s="103">
        <v>96930</v>
      </c>
      <c r="AJ51" s="84">
        <v>346778</v>
      </c>
      <c r="AK51" s="84">
        <v>810590</v>
      </c>
      <c r="AL51" s="84">
        <v>378969.36700000009</v>
      </c>
      <c r="AM51" s="84">
        <v>2210039.449</v>
      </c>
      <c r="AN51" s="84">
        <v>18905</v>
      </c>
      <c r="AO51" s="84">
        <v>52201</v>
      </c>
      <c r="AP51" s="84">
        <v>7569</v>
      </c>
      <c r="AQ51" s="84">
        <v>35588</v>
      </c>
      <c r="AR51" s="84">
        <v>178091</v>
      </c>
      <c r="AS51" s="84">
        <v>535467</v>
      </c>
      <c r="AT51" s="84">
        <v>765145</v>
      </c>
      <c r="AU51" s="84">
        <v>2256974</v>
      </c>
      <c r="AV51" s="84">
        <v>129295</v>
      </c>
      <c r="AW51" s="84">
        <v>518531</v>
      </c>
      <c r="AX51" s="84">
        <v>2897440</v>
      </c>
      <c r="AY51" s="84">
        <v>8656161</v>
      </c>
      <c r="AZ51" s="84">
        <v>28924</v>
      </c>
      <c r="BA51" s="84">
        <v>125096</v>
      </c>
      <c r="BB51" s="84"/>
      <c r="BC51" s="84"/>
      <c r="BD51" s="103">
        <v>379477</v>
      </c>
      <c r="BE51" s="103">
        <v>1512580</v>
      </c>
      <c r="BF51" s="84">
        <v>1080010</v>
      </c>
      <c r="BG51" s="84">
        <v>6372473</v>
      </c>
      <c r="BH51" s="103">
        <v>650825</v>
      </c>
      <c r="BI51" s="103">
        <v>2412841</v>
      </c>
      <c r="BJ51" s="103">
        <v>992587</v>
      </c>
      <c r="BK51" s="103">
        <v>5036927</v>
      </c>
      <c r="BL51" s="103">
        <v>596320</v>
      </c>
      <c r="BM51" s="103">
        <v>1313761</v>
      </c>
      <c r="BN51" s="73">
        <f t="shared" ref="BN51:BN55" si="10">SUM(B51+D51+F51+H51+J51+L51+N51+P51+R51+T51+V51+X51+Z51+AB51+AD51+AF51+AH51+AJ51+AL51+AN51+AP51+AR51+AT51+AV51+AX51+AZ51+BB51+BD51+BF51+BH51+BJ51+BL51)</f>
        <v>13664652.367000001</v>
      </c>
      <c r="BO51" s="73">
        <f t="shared" ref="BO51:BO55" si="11">SUM(C51+E51+G51+I51+K51+M51+O51+Q51+S51+U51+W51+Y51+AA51+AC51+AE51+AG51+AI51+AK51+AM51+AO51+AQ51+AS51+AU51+AW51+AY51+BA51+BC51+BE51+BG51+BI51+BK51+BM51)</f>
        <v>49690500.449000001</v>
      </c>
    </row>
    <row r="52" spans="1:67" x14ac:dyDescent="0.25">
      <c r="A52" s="84" t="s">
        <v>274</v>
      </c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>
        <v>316</v>
      </c>
      <c r="R52" s="84"/>
      <c r="S52" s="84"/>
      <c r="T52" s="84"/>
      <c r="U52" s="84"/>
      <c r="V52" s="84"/>
      <c r="W52" s="84">
        <v>9219</v>
      </c>
      <c r="X52" s="84">
        <v>41</v>
      </c>
      <c r="Y52" s="84">
        <v>562</v>
      </c>
      <c r="Z52" s="84"/>
      <c r="AA52" s="84"/>
      <c r="AB52" s="84"/>
      <c r="AC52" s="84"/>
      <c r="AD52" s="84">
        <v>190</v>
      </c>
      <c r="AE52" s="84">
        <v>190</v>
      </c>
      <c r="AF52" s="84"/>
      <c r="AG52" s="84">
        <v>-10</v>
      </c>
      <c r="AH52" s="103"/>
      <c r="AI52" s="103"/>
      <c r="AJ52" s="84"/>
      <c r="AK52" s="84"/>
      <c r="AL52" s="84">
        <v>0</v>
      </c>
      <c r="AM52" s="84">
        <v>0</v>
      </c>
      <c r="AN52" s="84"/>
      <c r="AO52" s="84"/>
      <c r="AP52" s="84"/>
      <c r="AQ52" s="84"/>
      <c r="AR52" s="84"/>
      <c r="AS52" s="84"/>
      <c r="AT52" s="84"/>
      <c r="AU52" s="84"/>
      <c r="AV52" s="84">
        <v>16204</v>
      </c>
      <c r="AW52" s="84">
        <v>17736</v>
      </c>
      <c r="AX52" s="84"/>
      <c r="AY52" s="84"/>
      <c r="AZ52" s="84"/>
      <c r="BA52" s="84"/>
      <c r="BB52" s="84"/>
      <c r="BC52" s="84"/>
      <c r="BD52" s="103"/>
      <c r="BE52" s="103">
        <v>267</v>
      </c>
      <c r="BF52" s="84">
        <v>15982</v>
      </c>
      <c r="BG52" s="84">
        <v>44793</v>
      </c>
      <c r="BH52" s="103">
        <v>108381</v>
      </c>
      <c r="BI52" s="103">
        <v>108411</v>
      </c>
      <c r="BJ52" s="84"/>
      <c r="BK52" s="84"/>
      <c r="BL52" s="103"/>
      <c r="BM52" s="103"/>
      <c r="BN52" s="73">
        <f t="shared" si="10"/>
        <v>140798</v>
      </c>
      <c r="BO52" s="73">
        <f t="shared" si="11"/>
        <v>181484</v>
      </c>
    </row>
    <row r="53" spans="1:67" x14ac:dyDescent="0.25">
      <c r="A53" s="84" t="s">
        <v>275</v>
      </c>
      <c r="B53" s="84">
        <v>2299</v>
      </c>
      <c r="C53" s="84">
        <v>8419</v>
      </c>
      <c r="D53" s="84">
        <v>28959</v>
      </c>
      <c r="E53" s="84">
        <v>98780</v>
      </c>
      <c r="F53" s="84"/>
      <c r="G53" s="84"/>
      <c r="H53" s="84">
        <v>60547</v>
      </c>
      <c r="I53" s="84">
        <v>146487</v>
      </c>
      <c r="J53" s="84">
        <v>10059</v>
      </c>
      <c r="K53" s="84">
        <v>28066</v>
      </c>
      <c r="L53" s="84">
        <v>177012</v>
      </c>
      <c r="M53" s="84">
        <v>700622</v>
      </c>
      <c r="N53" s="84"/>
      <c r="O53" s="84"/>
      <c r="P53" s="84">
        <v>34952</v>
      </c>
      <c r="Q53" s="84">
        <v>44950</v>
      </c>
      <c r="R53" s="84">
        <v>34090</v>
      </c>
      <c r="S53" s="84">
        <v>121708</v>
      </c>
      <c r="T53" s="84">
        <v>11700</v>
      </c>
      <c r="U53" s="84">
        <v>22039</v>
      </c>
      <c r="V53" s="84">
        <v>-488153</v>
      </c>
      <c r="W53" s="84">
        <v>-1580701</v>
      </c>
      <c r="X53" s="84">
        <v>167852</v>
      </c>
      <c r="Y53" s="84">
        <v>494716</v>
      </c>
      <c r="Z53" s="84">
        <v>42280</v>
      </c>
      <c r="AA53" s="84">
        <v>131818</v>
      </c>
      <c r="AB53" s="84">
        <v>43229</v>
      </c>
      <c r="AC53" s="84">
        <v>157466</v>
      </c>
      <c r="AD53" s="84">
        <v>4048</v>
      </c>
      <c r="AE53" s="84">
        <v>18730</v>
      </c>
      <c r="AF53" s="84">
        <v>-4035</v>
      </c>
      <c r="AG53" s="84">
        <v>-12824</v>
      </c>
      <c r="AH53" s="103">
        <v>3461</v>
      </c>
      <c r="AI53" s="103">
        <v>8469</v>
      </c>
      <c r="AJ53" s="84">
        <v>28806</v>
      </c>
      <c r="AK53" s="84">
        <v>77311</v>
      </c>
      <c r="AL53" s="84">
        <v>34387.650999999983</v>
      </c>
      <c r="AM53" s="84">
        <v>276302.05</v>
      </c>
      <c r="AN53" s="84">
        <v>-11284</v>
      </c>
      <c r="AO53" s="84">
        <v>-30789</v>
      </c>
      <c r="AP53" s="84">
        <v>5619</v>
      </c>
      <c r="AQ53" s="84">
        <v>28051</v>
      </c>
      <c r="AR53" s="84">
        <v>45766</v>
      </c>
      <c r="AS53" s="84">
        <v>155525</v>
      </c>
      <c r="AT53" s="84">
        <v>45189</v>
      </c>
      <c r="AU53" s="84">
        <v>141197</v>
      </c>
      <c r="AV53" s="84">
        <v>-43936</v>
      </c>
      <c r="AW53" s="84">
        <v>-95209</v>
      </c>
      <c r="AX53" s="84">
        <v>180284</v>
      </c>
      <c r="AY53" s="84">
        <v>486234</v>
      </c>
      <c r="AZ53" s="84">
        <v>14011</v>
      </c>
      <c r="BA53" s="84">
        <v>74268</v>
      </c>
      <c r="BB53" s="84"/>
      <c r="BC53" s="84"/>
      <c r="BD53" s="103">
        <v>22550</v>
      </c>
      <c r="BE53" s="103">
        <v>89829</v>
      </c>
      <c r="BF53" s="84">
        <v>57983</v>
      </c>
      <c r="BG53" s="84">
        <v>326230</v>
      </c>
      <c r="BH53" s="103">
        <v>59868</v>
      </c>
      <c r="BI53" s="103">
        <v>318941</v>
      </c>
      <c r="BJ53" s="103">
        <v>496633</v>
      </c>
      <c r="BK53" s="103">
        <v>3053138</v>
      </c>
      <c r="BL53" s="103">
        <v>626622</v>
      </c>
      <c r="BM53" s="103">
        <v>894818</v>
      </c>
      <c r="BN53" s="73">
        <f t="shared" si="10"/>
        <v>1690798.6510000001</v>
      </c>
      <c r="BO53" s="73">
        <f t="shared" si="11"/>
        <v>6184591.0499999998</v>
      </c>
    </row>
    <row r="54" spans="1:67" x14ac:dyDescent="0.25">
      <c r="A54" s="84" t="s">
        <v>229</v>
      </c>
      <c r="B54" s="84">
        <v>7787</v>
      </c>
      <c r="C54" s="84">
        <v>38232</v>
      </c>
      <c r="D54" s="84">
        <v>505596</v>
      </c>
      <c r="E54" s="84">
        <v>1249176</v>
      </c>
      <c r="F54" s="84"/>
      <c r="G54" s="84"/>
      <c r="H54" s="84">
        <v>472436</v>
      </c>
      <c r="I54" s="84">
        <v>1869377</v>
      </c>
      <c r="J54" s="84">
        <v>127224</v>
      </c>
      <c r="K54" s="84">
        <v>452273</v>
      </c>
      <c r="L54" s="84">
        <v>477971</v>
      </c>
      <c r="M54" s="84">
        <v>1778309</v>
      </c>
      <c r="N54" s="84"/>
      <c r="O54" s="84"/>
      <c r="P54" s="84">
        <v>1912</v>
      </c>
      <c r="Q54" s="84">
        <v>2632</v>
      </c>
      <c r="R54" s="84">
        <v>229996</v>
      </c>
      <c r="S54" s="84">
        <v>670820</v>
      </c>
      <c r="T54" s="84">
        <v>108675</v>
      </c>
      <c r="U54" s="84">
        <v>258716</v>
      </c>
      <c r="V54" s="84">
        <v>1130585</v>
      </c>
      <c r="W54" s="84">
        <v>3828201</v>
      </c>
      <c r="X54" s="84">
        <v>743230</v>
      </c>
      <c r="Y54" s="84">
        <v>2811547</v>
      </c>
      <c r="Z54" s="84">
        <v>158178</v>
      </c>
      <c r="AA54" s="84">
        <v>885114</v>
      </c>
      <c r="AB54" s="84">
        <v>34620</v>
      </c>
      <c r="AC54" s="84">
        <v>127954</v>
      </c>
      <c r="AD54" s="84">
        <v>54918</v>
      </c>
      <c r="AE54" s="84">
        <v>183646</v>
      </c>
      <c r="AF54" s="84">
        <v>8406</v>
      </c>
      <c r="AG54" s="84">
        <v>31296</v>
      </c>
      <c r="AH54" s="103">
        <v>40338</v>
      </c>
      <c r="AI54" s="103">
        <v>88461</v>
      </c>
      <c r="AJ54" s="84">
        <v>317972</v>
      </c>
      <c r="AK54" s="84">
        <v>733279</v>
      </c>
      <c r="AL54" s="84">
        <v>344581.71600000013</v>
      </c>
      <c r="AM54" s="84">
        <v>1933737.399</v>
      </c>
      <c r="AN54" s="84">
        <v>7621</v>
      </c>
      <c r="AO54" s="84">
        <v>21412</v>
      </c>
      <c r="AP54" s="84">
        <v>1949</v>
      </c>
      <c r="AQ54" s="84">
        <v>7537</v>
      </c>
      <c r="AR54" s="84">
        <v>132325</v>
      </c>
      <c r="AS54" s="84">
        <v>379942</v>
      </c>
      <c r="AT54" s="84">
        <v>719956</v>
      </c>
      <c r="AU54" s="84">
        <v>2115777</v>
      </c>
      <c r="AV54" s="84">
        <v>101563</v>
      </c>
      <c r="AW54" s="84">
        <v>441058</v>
      </c>
      <c r="AX54" s="84">
        <v>2717156</v>
      </c>
      <c r="AY54" s="84">
        <v>8169927</v>
      </c>
      <c r="AZ54" s="84">
        <v>14912</v>
      </c>
      <c r="BA54" s="84">
        <v>50828</v>
      </c>
      <c r="BB54" s="84"/>
      <c r="BC54" s="84"/>
      <c r="BD54" s="103">
        <v>356927</v>
      </c>
      <c r="BE54" s="103">
        <v>1423018</v>
      </c>
      <c r="BF54" s="84">
        <v>1038009</v>
      </c>
      <c r="BG54" s="84">
        <v>6091036</v>
      </c>
      <c r="BH54" s="103">
        <v>699338</v>
      </c>
      <c r="BI54" s="103">
        <v>2202311</v>
      </c>
      <c r="BJ54" s="103">
        <v>495954</v>
      </c>
      <c r="BK54" s="103">
        <v>1983789</v>
      </c>
      <c r="BL54" s="103">
        <v>-30302</v>
      </c>
      <c r="BM54" s="103">
        <v>418943</v>
      </c>
      <c r="BN54" s="73">
        <f t="shared" si="10"/>
        <v>11019833.716</v>
      </c>
      <c r="BO54" s="73">
        <f t="shared" si="11"/>
        <v>40248348.399000004</v>
      </c>
    </row>
    <row r="55" spans="1:67" x14ac:dyDescent="0.25">
      <c r="A55" s="84" t="s">
        <v>230</v>
      </c>
      <c r="B55" s="84">
        <v>5180</v>
      </c>
      <c r="C55" s="84">
        <v>31169</v>
      </c>
      <c r="D55" s="84">
        <v>432988</v>
      </c>
      <c r="E55" s="84">
        <v>1163338</v>
      </c>
      <c r="F55" s="84"/>
      <c r="G55" s="84"/>
      <c r="H55" s="84">
        <v>498719</v>
      </c>
      <c r="I55" s="84">
        <v>2144078</v>
      </c>
      <c r="J55" s="84">
        <v>76683</v>
      </c>
      <c r="K55" s="84">
        <v>335770</v>
      </c>
      <c r="L55" s="84">
        <v>485087</v>
      </c>
      <c r="M55" s="84">
        <v>1957650</v>
      </c>
      <c r="N55" s="84"/>
      <c r="O55" s="84"/>
      <c r="P55" s="84">
        <v>-2285</v>
      </c>
      <c r="Q55" s="84">
        <v>4485</v>
      </c>
      <c r="R55" s="84">
        <v>177551</v>
      </c>
      <c r="S55" s="84">
        <v>639616</v>
      </c>
      <c r="T55" s="84">
        <v>40210</v>
      </c>
      <c r="U55" s="84">
        <v>140622</v>
      </c>
      <c r="V55" s="84">
        <v>1109289</v>
      </c>
      <c r="W55" s="84">
        <v>4597030</v>
      </c>
      <c r="X55" s="84">
        <v>1017325</v>
      </c>
      <c r="Y55" s="84">
        <v>4363941</v>
      </c>
      <c r="Z55" s="84">
        <v>205321</v>
      </c>
      <c r="AA55" s="84">
        <v>846353</v>
      </c>
      <c r="AB55" s="84">
        <v>25917</v>
      </c>
      <c r="AC55" s="84">
        <v>105446</v>
      </c>
      <c r="AD55" s="84">
        <v>50119</v>
      </c>
      <c r="AE55" s="84">
        <v>190741</v>
      </c>
      <c r="AF55" s="84">
        <v>7776</v>
      </c>
      <c r="AG55" s="84">
        <v>27925</v>
      </c>
      <c r="AH55" s="103">
        <v>32152</v>
      </c>
      <c r="AI55" s="103">
        <v>82210</v>
      </c>
      <c r="AJ55" s="84">
        <v>230400</v>
      </c>
      <c r="AK55" s="84">
        <v>633249</v>
      </c>
      <c r="AL55" s="84">
        <v>366622.70100000012</v>
      </c>
      <c r="AM55" s="84">
        <v>1875993.264</v>
      </c>
      <c r="AN55" s="84">
        <v>8747</v>
      </c>
      <c r="AO55" s="84">
        <v>35489</v>
      </c>
      <c r="AP55" s="84">
        <v>1008</v>
      </c>
      <c r="AQ55" s="84">
        <v>2901</v>
      </c>
      <c r="AR55" s="84">
        <v>94422</v>
      </c>
      <c r="AS55" s="84">
        <v>324382</v>
      </c>
      <c r="AT55" s="84">
        <v>591297</v>
      </c>
      <c r="AU55" s="84">
        <v>1794114</v>
      </c>
      <c r="AV55" s="84">
        <v>105091</v>
      </c>
      <c r="AW55" s="84">
        <v>463071</v>
      </c>
      <c r="AX55" s="84">
        <v>1967878</v>
      </c>
      <c r="AY55" s="84">
        <v>7888693</v>
      </c>
      <c r="AZ55" s="84">
        <v>14357</v>
      </c>
      <c r="BA55" s="84">
        <v>44022</v>
      </c>
      <c r="BB55" s="84"/>
      <c r="BC55" s="84"/>
      <c r="BD55" s="103">
        <v>353096</v>
      </c>
      <c r="BE55" s="103">
        <v>1309219</v>
      </c>
      <c r="BF55" s="84">
        <v>1013603</v>
      </c>
      <c r="BG55" s="84">
        <v>5892809</v>
      </c>
      <c r="BH55" s="103">
        <v>603634</v>
      </c>
      <c r="BI55" s="103">
        <v>2256521</v>
      </c>
      <c r="BJ55" s="103">
        <v>719594</v>
      </c>
      <c r="BK55" s="103">
        <v>2545997</v>
      </c>
      <c r="BL55" s="103">
        <v>122112</v>
      </c>
      <c r="BM55" s="103">
        <v>1093686</v>
      </c>
      <c r="BN55" s="73">
        <f t="shared" si="10"/>
        <v>10353893.701000001</v>
      </c>
      <c r="BO55" s="73">
        <f t="shared" si="11"/>
        <v>42790520.263999999</v>
      </c>
    </row>
    <row r="57" spans="1:67" x14ac:dyDescent="0.25">
      <c r="A57" s="24" t="s">
        <v>222</v>
      </c>
    </row>
    <row r="58" spans="1:67" x14ac:dyDescent="0.25">
      <c r="A58" s="1" t="s">
        <v>0</v>
      </c>
      <c r="B58" s="119" t="s">
        <v>1</v>
      </c>
      <c r="C58" s="120"/>
      <c r="D58" s="119" t="s">
        <v>282</v>
      </c>
      <c r="E58" s="120"/>
      <c r="F58" s="119" t="s">
        <v>2</v>
      </c>
      <c r="G58" s="120"/>
      <c r="H58" s="119" t="s">
        <v>3</v>
      </c>
      <c r="I58" s="120"/>
      <c r="J58" s="119" t="s">
        <v>4</v>
      </c>
      <c r="K58" s="120"/>
      <c r="L58" s="119" t="s">
        <v>283</v>
      </c>
      <c r="M58" s="120"/>
      <c r="N58" s="119" t="s">
        <v>6</v>
      </c>
      <c r="O58" s="120"/>
      <c r="P58" s="119" t="s">
        <v>5</v>
      </c>
      <c r="Q58" s="120"/>
      <c r="R58" s="119" t="s">
        <v>7</v>
      </c>
      <c r="S58" s="120"/>
      <c r="T58" s="119" t="s">
        <v>284</v>
      </c>
      <c r="U58" s="120"/>
      <c r="V58" s="119" t="s">
        <v>8</v>
      </c>
      <c r="W58" s="120"/>
      <c r="X58" s="119" t="s">
        <v>9</v>
      </c>
      <c r="Y58" s="120"/>
      <c r="Z58" s="119" t="s">
        <v>10</v>
      </c>
      <c r="AA58" s="120"/>
      <c r="AB58" s="119" t="s">
        <v>293</v>
      </c>
      <c r="AC58" s="120"/>
      <c r="AD58" s="119" t="s">
        <v>11</v>
      </c>
      <c r="AE58" s="120"/>
      <c r="AF58" s="119" t="s">
        <v>12</v>
      </c>
      <c r="AG58" s="120"/>
      <c r="AH58" s="119" t="s">
        <v>285</v>
      </c>
      <c r="AI58" s="120"/>
      <c r="AJ58" s="119" t="s">
        <v>290</v>
      </c>
      <c r="AK58" s="120"/>
      <c r="AL58" s="119" t="s">
        <v>13</v>
      </c>
      <c r="AM58" s="120"/>
      <c r="AN58" s="119" t="s">
        <v>286</v>
      </c>
      <c r="AO58" s="120"/>
      <c r="AP58" s="119" t="s">
        <v>287</v>
      </c>
      <c r="AQ58" s="120"/>
      <c r="AR58" s="119" t="s">
        <v>291</v>
      </c>
      <c r="AS58" s="120"/>
      <c r="AT58" s="119" t="s">
        <v>294</v>
      </c>
      <c r="AU58" s="120"/>
      <c r="AV58" s="119" t="s">
        <v>14</v>
      </c>
      <c r="AW58" s="120"/>
      <c r="AX58" s="119" t="s">
        <v>15</v>
      </c>
      <c r="AY58" s="120"/>
      <c r="AZ58" s="119" t="s">
        <v>16</v>
      </c>
      <c r="BA58" s="120"/>
      <c r="BB58" s="119" t="s">
        <v>17</v>
      </c>
      <c r="BC58" s="120"/>
      <c r="BD58" s="119" t="s">
        <v>18</v>
      </c>
      <c r="BE58" s="120"/>
      <c r="BF58" s="119" t="s">
        <v>288</v>
      </c>
      <c r="BG58" s="120"/>
      <c r="BH58" s="119" t="s">
        <v>289</v>
      </c>
      <c r="BI58" s="120"/>
      <c r="BJ58" s="119" t="s">
        <v>19</v>
      </c>
      <c r="BK58" s="120"/>
      <c r="BL58" s="119" t="s">
        <v>20</v>
      </c>
      <c r="BM58" s="120"/>
      <c r="BN58" s="121" t="s">
        <v>21</v>
      </c>
      <c r="BO58" s="122"/>
    </row>
    <row r="59" spans="1:67" ht="30" x14ac:dyDescent="0.25">
      <c r="A59" s="1"/>
      <c r="B59" s="57" t="s">
        <v>296</v>
      </c>
      <c r="C59" s="58" t="s">
        <v>297</v>
      </c>
      <c r="D59" s="57" t="s">
        <v>296</v>
      </c>
      <c r="E59" s="58" t="s">
        <v>297</v>
      </c>
      <c r="F59" s="57" t="s">
        <v>296</v>
      </c>
      <c r="G59" s="58" t="s">
        <v>297</v>
      </c>
      <c r="H59" s="57" t="s">
        <v>296</v>
      </c>
      <c r="I59" s="58" t="s">
        <v>297</v>
      </c>
      <c r="J59" s="57" t="s">
        <v>296</v>
      </c>
      <c r="K59" s="58" t="s">
        <v>297</v>
      </c>
      <c r="L59" s="57" t="s">
        <v>296</v>
      </c>
      <c r="M59" s="58" t="s">
        <v>297</v>
      </c>
      <c r="N59" s="57" t="s">
        <v>296</v>
      </c>
      <c r="O59" s="58" t="s">
        <v>297</v>
      </c>
      <c r="P59" s="57" t="s">
        <v>296</v>
      </c>
      <c r="Q59" s="58" t="s">
        <v>297</v>
      </c>
      <c r="R59" s="57" t="s">
        <v>296</v>
      </c>
      <c r="S59" s="58" t="s">
        <v>297</v>
      </c>
      <c r="T59" s="57" t="s">
        <v>296</v>
      </c>
      <c r="U59" s="58" t="s">
        <v>297</v>
      </c>
      <c r="V59" s="57" t="s">
        <v>296</v>
      </c>
      <c r="W59" s="58" t="s">
        <v>297</v>
      </c>
      <c r="X59" s="57" t="s">
        <v>296</v>
      </c>
      <c r="Y59" s="58" t="s">
        <v>297</v>
      </c>
      <c r="Z59" s="57" t="s">
        <v>296</v>
      </c>
      <c r="AA59" s="58" t="s">
        <v>297</v>
      </c>
      <c r="AB59" s="57" t="s">
        <v>296</v>
      </c>
      <c r="AC59" s="58" t="s">
        <v>297</v>
      </c>
      <c r="AD59" s="57" t="s">
        <v>296</v>
      </c>
      <c r="AE59" s="58" t="s">
        <v>297</v>
      </c>
      <c r="AF59" s="57" t="s">
        <v>296</v>
      </c>
      <c r="AG59" s="58" t="s">
        <v>297</v>
      </c>
      <c r="AH59" s="57" t="s">
        <v>296</v>
      </c>
      <c r="AI59" s="58" t="s">
        <v>297</v>
      </c>
      <c r="AJ59" s="57" t="s">
        <v>296</v>
      </c>
      <c r="AK59" s="58" t="s">
        <v>297</v>
      </c>
      <c r="AL59" s="57" t="s">
        <v>296</v>
      </c>
      <c r="AM59" s="58" t="s">
        <v>297</v>
      </c>
      <c r="AN59" s="57" t="s">
        <v>296</v>
      </c>
      <c r="AO59" s="58" t="s">
        <v>297</v>
      </c>
      <c r="AP59" s="57" t="s">
        <v>296</v>
      </c>
      <c r="AQ59" s="58" t="s">
        <v>297</v>
      </c>
      <c r="AR59" s="57" t="s">
        <v>296</v>
      </c>
      <c r="AS59" s="58" t="s">
        <v>297</v>
      </c>
      <c r="AT59" s="57" t="s">
        <v>296</v>
      </c>
      <c r="AU59" s="58" t="s">
        <v>297</v>
      </c>
      <c r="AV59" s="57" t="s">
        <v>296</v>
      </c>
      <c r="AW59" s="58" t="s">
        <v>297</v>
      </c>
      <c r="AX59" s="57" t="s">
        <v>296</v>
      </c>
      <c r="AY59" s="58" t="s">
        <v>297</v>
      </c>
      <c r="AZ59" s="57" t="s">
        <v>296</v>
      </c>
      <c r="BA59" s="58" t="s">
        <v>297</v>
      </c>
      <c r="BB59" s="57" t="s">
        <v>296</v>
      </c>
      <c r="BC59" s="58" t="s">
        <v>297</v>
      </c>
      <c r="BD59" s="57" t="s">
        <v>296</v>
      </c>
      <c r="BE59" s="58" t="s">
        <v>297</v>
      </c>
      <c r="BF59" s="57" t="s">
        <v>296</v>
      </c>
      <c r="BG59" s="58" t="s">
        <v>297</v>
      </c>
      <c r="BH59" s="57" t="s">
        <v>296</v>
      </c>
      <c r="BI59" s="58" t="s">
        <v>297</v>
      </c>
      <c r="BJ59" s="57" t="s">
        <v>296</v>
      </c>
      <c r="BK59" s="58" t="s">
        <v>297</v>
      </c>
      <c r="BL59" s="57" t="s">
        <v>296</v>
      </c>
      <c r="BM59" s="58" t="s">
        <v>297</v>
      </c>
      <c r="BN59" s="57" t="s">
        <v>296</v>
      </c>
      <c r="BO59" s="58" t="s">
        <v>297</v>
      </c>
    </row>
    <row r="60" spans="1:67" x14ac:dyDescent="0.25">
      <c r="A60" s="84" t="s">
        <v>271</v>
      </c>
      <c r="B60" s="84">
        <v>76027</v>
      </c>
      <c r="C60" s="84">
        <v>312819</v>
      </c>
      <c r="D60" s="84"/>
      <c r="E60" s="84"/>
      <c r="F60" s="84"/>
      <c r="G60" s="84"/>
      <c r="H60" s="84">
        <v>82502</v>
      </c>
      <c r="I60" s="84">
        <v>400953</v>
      </c>
      <c r="J60" s="84">
        <v>112973</v>
      </c>
      <c r="K60" s="84">
        <v>395859</v>
      </c>
      <c r="L60" s="84">
        <v>21662</v>
      </c>
      <c r="M60" s="84">
        <v>103559</v>
      </c>
      <c r="N60" s="84"/>
      <c r="O60" s="84"/>
      <c r="P60" s="84">
        <v>1</v>
      </c>
      <c r="Q60" s="84">
        <v>1</v>
      </c>
      <c r="R60" s="84">
        <v>61799</v>
      </c>
      <c r="S60" s="84">
        <v>234268</v>
      </c>
      <c r="T60" s="84">
        <v>68</v>
      </c>
      <c r="U60" s="84">
        <v>102</v>
      </c>
      <c r="V60" s="84">
        <v>15661</v>
      </c>
      <c r="W60" s="84">
        <v>29448</v>
      </c>
      <c r="X60" s="84">
        <v>138299</v>
      </c>
      <c r="Y60" s="84">
        <v>569966</v>
      </c>
      <c r="Z60" s="84">
        <v>131733</v>
      </c>
      <c r="AA60" s="84">
        <v>517596</v>
      </c>
      <c r="AB60" s="84"/>
      <c r="AC60" s="84"/>
      <c r="AD60" s="84">
        <v>47619</v>
      </c>
      <c r="AE60" s="84">
        <v>156222</v>
      </c>
      <c r="AF60" s="84">
        <v>88</v>
      </c>
      <c r="AG60" s="84">
        <v>431</v>
      </c>
      <c r="AH60" s="84"/>
      <c r="AI60" s="84"/>
      <c r="AJ60" s="84"/>
      <c r="AK60" s="84"/>
      <c r="AL60" s="84">
        <v>231814.42675999994</v>
      </c>
      <c r="AM60" s="84">
        <v>796758.42529749998</v>
      </c>
      <c r="AN60" s="84"/>
      <c r="AO60" s="84"/>
      <c r="AP60" s="84">
        <v>10970</v>
      </c>
      <c r="AQ60" s="84">
        <v>39446</v>
      </c>
      <c r="AR60" s="84">
        <v>56474</v>
      </c>
      <c r="AS60" s="84">
        <v>295472</v>
      </c>
      <c r="AT60" s="84"/>
      <c r="AU60" s="84"/>
      <c r="AV60" s="84">
        <v>22212</v>
      </c>
      <c r="AW60" s="84">
        <v>60339</v>
      </c>
      <c r="AX60" s="84">
        <v>74201</v>
      </c>
      <c r="AY60" s="84">
        <v>307111</v>
      </c>
      <c r="AZ60" s="84">
        <v>653</v>
      </c>
      <c r="BA60" s="84">
        <v>4753</v>
      </c>
      <c r="BB60" s="84"/>
      <c r="BC60" s="84"/>
      <c r="BD60" s="103">
        <v>600385</v>
      </c>
      <c r="BE60" s="103">
        <v>3189684</v>
      </c>
      <c r="BF60" s="84">
        <v>1640650</v>
      </c>
      <c r="BG60" s="84">
        <v>6464297</v>
      </c>
      <c r="BH60" s="103">
        <v>249465</v>
      </c>
      <c r="BI60" s="103">
        <v>892279</v>
      </c>
      <c r="BJ60" s="103">
        <v>326087</v>
      </c>
      <c r="BK60" s="103">
        <v>1399038</v>
      </c>
      <c r="BL60" s="103">
        <v>5497</v>
      </c>
      <c r="BM60" s="103">
        <v>44036</v>
      </c>
      <c r="BN60" s="73">
        <f t="shared" ref="BN60:BN64" si="12">SUM(B60+D60+F60+H60+J60+L60+N60+P60+R60+T60+V60+X60+Z60+AB60+AD60+AF60+AH60+AJ60+AL60+AN60+AP60+AR60+AT60+AV60+AX60+AZ60+BB60+BD60+BF60+BH60+BJ60+BL60)</f>
        <v>3906840.4267600002</v>
      </c>
      <c r="BO60" s="73">
        <f t="shared" ref="BO60:BO64" si="13">SUM(C60+E60+G60+I60+K60+M60+O60+Q60+S60+U60+W60+Y60+AA60+AC60+AE60+AG60+AI60+AK60+AM60+AO60+AQ60+AS60+AU60+AW60+AY60+BA60+BC60+BE60+BG60+BI60+BK60+BM60)</f>
        <v>16214437.425297501</v>
      </c>
    </row>
    <row r="61" spans="1:67" x14ac:dyDescent="0.25">
      <c r="A61" s="84" t="s">
        <v>274</v>
      </c>
      <c r="B61" s="84"/>
      <c r="C61" s="84"/>
      <c r="D61" s="84"/>
      <c r="E61" s="84"/>
      <c r="F61" s="84"/>
      <c r="G61" s="84"/>
      <c r="H61" s="84"/>
      <c r="I61" s="84"/>
      <c r="J61" s="84">
        <v>1674</v>
      </c>
      <c r="K61" s="84">
        <v>7656</v>
      </c>
      <c r="L61" s="84"/>
      <c r="M61" s="84">
        <v>10716</v>
      </c>
      <c r="N61" s="84"/>
      <c r="O61" s="84"/>
      <c r="P61" s="84"/>
      <c r="Q61" s="84"/>
      <c r="R61" s="84">
        <v>923</v>
      </c>
      <c r="S61" s="84">
        <v>19683</v>
      </c>
      <c r="T61" s="84"/>
      <c r="U61" s="84"/>
      <c r="V61" s="84"/>
      <c r="W61" s="84">
        <v>764</v>
      </c>
      <c r="X61" s="84"/>
      <c r="Y61" s="84">
        <v>22122</v>
      </c>
      <c r="Z61" s="84">
        <v>733</v>
      </c>
      <c r="AA61" s="84">
        <v>33189</v>
      </c>
      <c r="AB61" s="84"/>
      <c r="AC61" s="84"/>
      <c r="AD61" s="84">
        <v>835</v>
      </c>
      <c r="AE61" s="84">
        <v>5425</v>
      </c>
      <c r="AF61" s="84"/>
      <c r="AG61" s="84"/>
      <c r="AH61" s="84"/>
      <c r="AI61" s="84"/>
      <c r="AJ61" s="84"/>
      <c r="AK61" s="84"/>
      <c r="AL61" s="84">
        <v>0</v>
      </c>
      <c r="AM61" s="84">
        <v>0</v>
      </c>
      <c r="AN61" s="84"/>
      <c r="AO61" s="84"/>
      <c r="AP61" s="84">
        <v>7190</v>
      </c>
      <c r="AQ61" s="84">
        <v>12998</v>
      </c>
      <c r="AR61" s="84"/>
      <c r="AS61" s="84">
        <v>15523</v>
      </c>
      <c r="AT61" s="84"/>
      <c r="AU61" s="84"/>
      <c r="AV61" s="84"/>
      <c r="AW61" s="84"/>
      <c r="AX61" s="84">
        <v>15462</v>
      </c>
      <c r="AY61" s="84">
        <v>45970</v>
      </c>
      <c r="AZ61" s="84"/>
      <c r="BA61" s="84"/>
      <c r="BB61" s="84"/>
      <c r="BC61" s="84"/>
      <c r="BD61" s="103">
        <v>28445</v>
      </c>
      <c r="BE61" s="103">
        <v>422415</v>
      </c>
      <c r="BF61" s="84">
        <v>1616</v>
      </c>
      <c r="BG61" s="84">
        <v>212025</v>
      </c>
      <c r="BH61" s="103">
        <v>26650</v>
      </c>
      <c r="BI61" s="103">
        <v>98568</v>
      </c>
      <c r="BJ61" s="103">
        <v>102</v>
      </c>
      <c r="BK61" s="103">
        <v>137878</v>
      </c>
      <c r="BL61" s="103"/>
      <c r="BM61" s="103"/>
      <c r="BN61" s="73">
        <f t="shared" si="12"/>
        <v>83630</v>
      </c>
      <c r="BO61" s="73">
        <f t="shared" si="13"/>
        <v>1044932</v>
      </c>
    </row>
    <row r="62" spans="1:67" x14ac:dyDescent="0.25">
      <c r="A62" s="84" t="s">
        <v>275</v>
      </c>
      <c r="B62" s="84">
        <v>56432</v>
      </c>
      <c r="C62" s="84">
        <v>210091</v>
      </c>
      <c r="D62" s="84"/>
      <c r="E62" s="84"/>
      <c r="F62" s="84"/>
      <c r="G62" s="84"/>
      <c r="H62" s="84">
        <v>48531</v>
      </c>
      <c r="I62" s="84">
        <v>257710</v>
      </c>
      <c r="J62" s="84">
        <v>108046</v>
      </c>
      <c r="K62" s="84">
        <v>284515</v>
      </c>
      <c r="L62" s="84">
        <v>6537</v>
      </c>
      <c r="M62" s="84">
        <v>44919</v>
      </c>
      <c r="N62" s="84"/>
      <c r="O62" s="84"/>
      <c r="P62" s="84"/>
      <c r="Q62" s="84"/>
      <c r="R62" s="84">
        <v>36413</v>
      </c>
      <c r="S62" s="84">
        <v>154425</v>
      </c>
      <c r="T62" s="84">
        <v>42</v>
      </c>
      <c r="U62" s="84">
        <v>73</v>
      </c>
      <c r="V62" s="84">
        <v>-14199</v>
      </c>
      <c r="W62" s="84">
        <v>-22846</v>
      </c>
      <c r="X62" s="84">
        <v>43806</v>
      </c>
      <c r="Y62" s="84">
        <v>339079</v>
      </c>
      <c r="Z62" s="84">
        <v>60876</v>
      </c>
      <c r="AA62" s="84">
        <v>239909</v>
      </c>
      <c r="AB62" s="84"/>
      <c r="AC62" s="84"/>
      <c r="AD62" s="84">
        <v>27841</v>
      </c>
      <c r="AE62" s="84">
        <v>60608</v>
      </c>
      <c r="AF62" s="84">
        <v>-42</v>
      </c>
      <c r="AG62" s="84">
        <v>-318</v>
      </c>
      <c r="AH62" s="84"/>
      <c r="AI62" s="84"/>
      <c r="AJ62" s="84"/>
      <c r="AK62" s="84"/>
      <c r="AL62" s="84">
        <v>29684.981021999993</v>
      </c>
      <c r="AM62" s="84">
        <v>206684.1566595</v>
      </c>
      <c r="AN62" s="84"/>
      <c r="AO62" s="84"/>
      <c r="AP62" s="84">
        <v>4380</v>
      </c>
      <c r="AQ62" s="84">
        <v>13499</v>
      </c>
      <c r="AR62" s="84">
        <v>16665</v>
      </c>
      <c r="AS62" s="84">
        <v>172035</v>
      </c>
      <c r="AT62" s="84"/>
      <c r="AU62" s="84"/>
      <c r="AV62" s="84">
        <v>-16119</v>
      </c>
      <c r="AW62" s="84">
        <v>-34132</v>
      </c>
      <c r="AX62" s="84">
        <v>62908</v>
      </c>
      <c r="AY62" s="84">
        <v>255460</v>
      </c>
      <c r="AZ62" s="84">
        <v>676</v>
      </c>
      <c r="BA62" s="84">
        <v>1924</v>
      </c>
      <c r="BB62" s="84"/>
      <c r="BC62" s="84"/>
      <c r="BD62" s="103">
        <v>498220</v>
      </c>
      <c r="BE62" s="103">
        <v>2949448</v>
      </c>
      <c r="BF62" s="84">
        <v>486573</v>
      </c>
      <c r="BG62" s="84">
        <v>2255005</v>
      </c>
      <c r="BH62" s="103">
        <v>28245</v>
      </c>
      <c r="BI62" s="103">
        <v>260038</v>
      </c>
      <c r="BJ62" s="103">
        <v>117014</v>
      </c>
      <c r="BK62" s="103">
        <v>582371</v>
      </c>
      <c r="BL62" s="103">
        <v>2664</v>
      </c>
      <c r="BM62" s="103">
        <v>25395</v>
      </c>
      <c r="BN62" s="73">
        <f t="shared" si="12"/>
        <v>1605193.9810219998</v>
      </c>
      <c r="BO62" s="73">
        <f t="shared" si="13"/>
        <v>8255892.1566594997</v>
      </c>
    </row>
    <row r="63" spans="1:67" x14ac:dyDescent="0.25">
      <c r="A63" s="84" t="s">
        <v>229</v>
      </c>
      <c r="B63" s="84">
        <v>19595</v>
      </c>
      <c r="C63" s="84">
        <v>102728</v>
      </c>
      <c r="D63" s="84"/>
      <c r="E63" s="84"/>
      <c r="F63" s="84"/>
      <c r="G63" s="84"/>
      <c r="H63" s="84">
        <v>33971</v>
      </c>
      <c r="I63" s="84">
        <v>143243</v>
      </c>
      <c r="J63" s="84">
        <v>6601</v>
      </c>
      <c r="K63" s="84">
        <v>119000</v>
      </c>
      <c r="L63" s="84">
        <v>15125</v>
      </c>
      <c r="M63" s="84">
        <v>69356</v>
      </c>
      <c r="N63" s="84"/>
      <c r="O63" s="84"/>
      <c r="P63" s="84">
        <v>1</v>
      </c>
      <c r="Q63" s="84">
        <v>1</v>
      </c>
      <c r="R63" s="84">
        <v>26308</v>
      </c>
      <c r="S63" s="84">
        <v>99526</v>
      </c>
      <c r="T63" s="84">
        <v>26</v>
      </c>
      <c r="U63" s="84">
        <v>29</v>
      </c>
      <c r="V63" s="84">
        <v>1462</v>
      </c>
      <c r="W63" s="84">
        <v>7366</v>
      </c>
      <c r="X63" s="84">
        <v>94493</v>
      </c>
      <c r="Y63" s="84">
        <v>253009</v>
      </c>
      <c r="Z63" s="84">
        <v>71590</v>
      </c>
      <c r="AA63" s="84">
        <v>310876</v>
      </c>
      <c r="AB63" s="84"/>
      <c r="AC63" s="84"/>
      <c r="AD63" s="84">
        <v>20613</v>
      </c>
      <c r="AE63" s="84">
        <v>101039</v>
      </c>
      <c r="AF63" s="84">
        <v>46</v>
      </c>
      <c r="AG63" s="84">
        <v>113</v>
      </c>
      <c r="AH63" s="84"/>
      <c r="AI63" s="84"/>
      <c r="AJ63" s="84"/>
      <c r="AK63" s="84"/>
      <c r="AL63" s="84">
        <v>202129.44573799995</v>
      </c>
      <c r="AM63" s="84">
        <v>590074.26863800001</v>
      </c>
      <c r="AN63" s="84"/>
      <c r="AO63" s="84"/>
      <c r="AP63" s="84">
        <v>13780</v>
      </c>
      <c r="AQ63" s="84">
        <v>38944</v>
      </c>
      <c r="AR63" s="84">
        <v>39809</v>
      </c>
      <c r="AS63" s="84">
        <v>138960</v>
      </c>
      <c r="AT63" s="84"/>
      <c r="AU63" s="84"/>
      <c r="AV63" s="84">
        <v>6093</v>
      </c>
      <c r="AW63" s="84">
        <v>26207</v>
      </c>
      <c r="AX63" s="84">
        <v>26755</v>
      </c>
      <c r="AY63" s="84">
        <v>97621</v>
      </c>
      <c r="AZ63" s="84">
        <v>-23</v>
      </c>
      <c r="BA63" s="84">
        <v>2829</v>
      </c>
      <c r="BB63" s="84"/>
      <c r="BC63" s="84"/>
      <c r="BD63" s="103">
        <v>130610</v>
      </c>
      <c r="BE63" s="103">
        <v>662651</v>
      </c>
      <c r="BF63" s="84">
        <v>1155693</v>
      </c>
      <c r="BG63" s="84">
        <v>4421317</v>
      </c>
      <c r="BH63" s="103">
        <v>247870</v>
      </c>
      <c r="BI63" s="103">
        <v>730809</v>
      </c>
      <c r="BJ63" s="103">
        <v>209175</v>
      </c>
      <c r="BK63" s="103">
        <v>954545</v>
      </c>
      <c r="BL63" s="103">
        <v>2833</v>
      </c>
      <c r="BM63" s="103">
        <v>18641</v>
      </c>
      <c r="BN63" s="73">
        <f t="shared" si="12"/>
        <v>2324555.4457379999</v>
      </c>
      <c r="BO63" s="73">
        <f t="shared" si="13"/>
        <v>8888884.2686379999</v>
      </c>
    </row>
    <row r="64" spans="1:67" x14ac:dyDescent="0.25">
      <c r="A64" s="84" t="s">
        <v>230</v>
      </c>
      <c r="B64" s="84">
        <v>25551</v>
      </c>
      <c r="C64" s="84">
        <v>137301</v>
      </c>
      <c r="D64" s="84"/>
      <c r="E64" s="84"/>
      <c r="F64" s="84"/>
      <c r="G64" s="84"/>
      <c r="H64" s="84">
        <v>34776</v>
      </c>
      <c r="I64" s="84">
        <v>129316</v>
      </c>
      <c r="J64" s="84">
        <v>17724</v>
      </c>
      <c r="K64" s="84">
        <v>105121</v>
      </c>
      <c r="L64" s="84">
        <v>15459</v>
      </c>
      <c r="M64" s="84">
        <v>63571</v>
      </c>
      <c r="N64" s="84"/>
      <c r="O64" s="84"/>
      <c r="P64" s="84">
        <v>1</v>
      </c>
      <c r="Q64" s="84">
        <v>1</v>
      </c>
      <c r="R64" s="84">
        <v>23577</v>
      </c>
      <c r="S64" s="84">
        <v>89879</v>
      </c>
      <c r="T64" s="84">
        <v>23</v>
      </c>
      <c r="U64" s="84">
        <v>23</v>
      </c>
      <c r="V64" s="84">
        <v>1995</v>
      </c>
      <c r="W64" s="84">
        <v>10562</v>
      </c>
      <c r="X64" s="84">
        <v>45334</v>
      </c>
      <c r="Y64" s="84">
        <v>159180</v>
      </c>
      <c r="Z64" s="84">
        <v>90540</v>
      </c>
      <c r="AA64" s="84">
        <v>272267</v>
      </c>
      <c r="AB64" s="84"/>
      <c r="AC64" s="84"/>
      <c r="AD64" s="84">
        <v>21821</v>
      </c>
      <c r="AE64" s="84">
        <v>89270</v>
      </c>
      <c r="AF64" s="84">
        <v>61</v>
      </c>
      <c r="AG64" s="84">
        <v>150</v>
      </c>
      <c r="AH64" s="84"/>
      <c r="AI64" s="84"/>
      <c r="AJ64" s="84"/>
      <c r="AK64" s="84"/>
      <c r="AL64" s="84">
        <v>205446.72573799995</v>
      </c>
      <c r="AM64" s="84">
        <v>622647.13963800005</v>
      </c>
      <c r="AN64" s="84"/>
      <c r="AO64" s="84"/>
      <c r="AP64" s="84">
        <v>10227</v>
      </c>
      <c r="AQ64" s="84">
        <v>45111</v>
      </c>
      <c r="AR64" s="84">
        <v>45414</v>
      </c>
      <c r="AS64" s="84">
        <v>135635</v>
      </c>
      <c r="AT64" s="84"/>
      <c r="AU64" s="84"/>
      <c r="AV64" s="84">
        <v>6610</v>
      </c>
      <c r="AW64" s="84">
        <v>28450</v>
      </c>
      <c r="AX64" s="84">
        <v>23940</v>
      </c>
      <c r="AY64" s="84">
        <v>74719</v>
      </c>
      <c r="AZ64" s="84">
        <v>469</v>
      </c>
      <c r="BA64" s="84">
        <v>2693</v>
      </c>
      <c r="BB64" s="84"/>
      <c r="BC64" s="84"/>
      <c r="BD64" s="103">
        <v>166266</v>
      </c>
      <c r="BE64" s="103">
        <v>708348</v>
      </c>
      <c r="BF64" s="84">
        <v>1176415</v>
      </c>
      <c r="BG64" s="84">
        <v>4306377</v>
      </c>
      <c r="BH64" s="103">
        <v>204299</v>
      </c>
      <c r="BI64" s="103">
        <v>654274</v>
      </c>
      <c r="BJ64" s="103">
        <v>213658</v>
      </c>
      <c r="BK64" s="103">
        <v>904983</v>
      </c>
      <c r="BL64" s="103">
        <v>4665</v>
      </c>
      <c r="BM64" s="103">
        <v>17674</v>
      </c>
      <c r="BN64" s="73">
        <f t="shared" si="12"/>
        <v>2334271.7257380001</v>
      </c>
      <c r="BO64" s="73">
        <f t="shared" si="13"/>
        <v>8557552.1396379992</v>
      </c>
    </row>
    <row r="66" spans="1:67" x14ac:dyDescent="0.25">
      <c r="A66" s="24" t="s">
        <v>223</v>
      </c>
    </row>
    <row r="67" spans="1:67" x14ac:dyDescent="0.25">
      <c r="A67" s="1" t="s">
        <v>0</v>
      </c>
      <c r="B67" s="119" t="s">
        <v>1</v>
      </c>
      <c r="C67" s="120"/>
      <c r="D67" s="119" t="s">
        <v>282</v>
      </c>
      <c r="E67" s="120"/>
      <c r="F67" s="119" t="s">
        <v>2</v>
      </c>
      <c r="G67" s="120"/>
      <c r="H67" s="119" t="s">
        <v>3</v>
      </c>
      <c r="I67" s="120"/>
      <c r="J67" s="119" t="s">
        <v>4</v>
      </c>
      <c r="K67" s="120"/>
      <c r="L67" s="119" t="s">
        <v>283</v>
      </c>
      <c r="M67" s="120"/>
      <c r="N67" s="119" t="s">
        <v>6</v>
      </c>
      <c r="O67" s="120"/>
      <c r="P67" s="119" t="s">
        <v>5</v>
      </c>
      <c r="Q67" s="120"/>
      <c r="R67" s="119" t="s">
        <v>7</v>
      </c>
      <c r="S67" s="120"/>
      <c r="T67" s="119" t="s">
        <v>284</v>
      </c>
      <c r="U67" s="120"/>
      <c r="V67" s="119" t="s">
        <v>8</v>
      </c>
      <c r="W67" s="120"/>
      <c r="X67" s="119" t="s">
        <v>9</v>
      </c>
      <c r="Y67" s="120"/>
      <c r="Z67" s="119" t="s">
        <v>10</v>
      </c>
      <c r="AA67" s="120"/>
      <c r="AB67" s="119" t="s">
        <v>293</v>
      </c>
      <c r="AC67" s="120"/>
      <c r="AD67" s="119" t="s">
        <v>11</v>
      </c>
      <c r="AE67" s="120"/>
      <c r="AF67" s="119" t="s">
        <v>12</v>
      </c>
      <c r="AG67" s="120"/>
      <c r="AH67" s="119" t="s">
        <v>285</v>
      </c>
      <c r="AI67" s="120"/>
      <c r="AJ67" s="119" t="s">
        <v>290</v>
      </c>
      <c r="AK67" s="120"/>
      <c r="AL67" s="119" t="s">
        <v>13</v>
      </c>
      <c r="AM67" s="120"/>
      <c r="AN67" s="119" t="s">
        <v>286</v>
      </c>
      <c r="AO67" s="120"/>
      <c r="AP67" s="119" t="s">
        <v>287</v>
      </c>
      <c r="AQ67" s="120"/>
      <c r="AR67" s="119" t="s">
        <v>291</v>
      </c>
      <c r="AS67" s="120"/>
      <c r="AT67" s="119" t="s">
        <v>294</v>
      </c>
      <c r="AU67" s="120"/>
      <c r="AV67" s="119" t="s">
        <v>14</v>
      </c>
      <c r="AW67" s="120"/>
      <c r="AX67" s="119" t="s">
        <v>15</v>
      </c>
      <c r="AY67" s="120"/>
      <c r="AZ67" s="119" t="s">
        <v>16</v>
      </c>
      <c r="BA67" s="120"/>
      <c r="BB67" s="119" t="s">
        <v>17</v>
      </c>
      <c r="BC67" s="120"/>
      <c r="BD67" s="119" t="s">
        <v>18</v>
      </c>
      <c r="BE67" s="120"/>
      <c r="BF67" s="119" t="s">
        <v>288</v>
      </c>
      <c r="BG67" s="120"/>
      <c r="BH67" s="119" t="s">
        <v>289</v>
      </c>
      <c r="BI67" s="120"/>
      <c r="BJ67" s="119" t="s">
        <v>19</v>
      </c>
      <c r="BK67" s="120"/>
      <c r="BL67" s="119" t="s">
        <v>20</v>
      </c>
      <c r="BM67" s="120"/>
      <c r="BN67" s="121" t="s">
        <v>21</v>
      </c>
      <c r="BO67" s="122"/>
    </row>
    <row r="68" spans="1:67" ht="30" x14ac:dyDescent="0.25">
      <c r="A68" s="1"/>
      <c r="B68" s="57" t="s">
        <v>296</v>
      </c>
      <c r="C68" s="58" t="s">
        <v>297</v>
      </c>
      <c r="D68" s="57" t="s">
        <v>296</v>
      </c>
      <c r="E68" s="58" t="s">
        <v>297</v>
      </c>
      <c r="F68" s="57" t="s">
        <v>296</v>
      </c>
      <c r="G68" s="58" t="s">
        <v>297</v>
      </c>
      <c r="H68" s="57" t="s">
        <v>296</v>
      </c>
      <c r="I68" s="58" t="s">
        <v>297</v>
      </c>
      <c r="J68" s="57" t="s">
        <v>296</v>
      </c>
      <c r="K68" s="58" t="s">
        <v>297</v>
      </c>
      <c r="L68" s="57" t="s">
        <v>296</v>
      </c>
      <c r="M68" s="58" t="s">
        <v>297</v>
      </c>
      <c r="N68" s="57" t="s">
        <v>296</v>
      </c>
      <c r="O68" s="58" t="s">
        <v>297</v>
      </c>
      <c r="P68" s="57" t="s">
        <v>296</v>
      </c>
      <c r="Q68" s="58" t="s">
        <v>297</v>
      </c>
      <c r="R68" s="57" t="s">
        <v>296</v>
      </c>
      <c r="S68" s="58" t="s">
        <v>297</v>
      </c>
      <c r="T68" s="57" t="s">
        <v>296</v>
      </c>
      <c r="U68" s="58" t="s">
        <v>297</v>
      </c>
      <c r="V68" s="57" t="s">
        <v>296</v>
      </c>
      <c r="W68" s="58" t="s">
        <v>297</v>
      </c>
      <c r="X68" s="57" t="s">
        <v>296</v>
      </c>
      <c r="Y68" s="58" t="s">
        <v>297</v>
      </c>
      <c r="Z68" s="57" t="s">
        <v>296</v>
      </c>
      <c r="AA68" s="58" t="s">
        <v>297</v>
      </c>
      <c r="AB68" s="57" t="s">
        <v>296</v>
      </c>
      <c r="AC68" s="58" t="s">
        <v>297</v>
      </c>
      <c r="AD68" s="57" t="s">
        <v>296</v>
      </c>
      <c r="AE68" s="58" t="s">
        <v>297</v>
      </c>
      <c r="AF68" s="57" t="s">
        <v>296</v>
      </c>
      <c r="AG68" s="58" t="s">
        <v>297</v>
      </c>
      <c r="AH68" s="57" t="s">
        <v>296</v>
      </c>
      <c r="AI68" s="58" t="s">
        <v>297</v>
      </c>
      <c r="AJ68" s="57" t="s">
        <v>296</v>
      </c>
      <c r="AK68" s="58" t="s">
        <v>297</v>
      </c>
      <c r="AL68" s="57" t="s">
        <v>296</v>
      </c>
      <c r="AM68" s="58" t="s">
        <v>297</v>
      </c>
      <c r="AN68" s="57" t="s">
        <v>296</v>
      </c>
      <c r="AO68" s="58" t="s">
        <v>297</v>
      </c>
      <c r="AP68" s="57" t="s">
        <v>296</v>
      </c>
      <c r="AQ68" s="58" t="s">
        <v>297</v>
      </c>
      <c r="AR68" s="57" t="s">
        <v>296</v>
      </c>
      <c r="AS68" s="58" t="s">
        <v>297</v>
      </c>
      <c r="AT68" s="57" t="s">
        <v>296</v>
      </c>
      <c r="AU68" s="58" t="s">
        <v>297</v>
      </c>
      <c r="AV68" s="57" t="s">
        <v>296</v>
      </c>
      <c r="AW68" s="58" t="s">
        <v>297</v>
      </c>
      <c r="AX68" s="57" t="s">
        <v>296</v>
      </c>
      <c r="AY68" s="58" t="s">
        <v>297</v>
      </c>
      <c r="AZ68" s="57" t="s">
        <v>296</v>
      </c>
      <c r="BA68" s="58" t="s">
        <v>297</v>
      </c>
      <c r="BB68" s="57" t="s">
        <v>296</v>
      </c>
      <c r="BC68" s="58" t="s">
        <v>297</v>
      </c>
      <c r="BD68" s="57" t="s">
        <v>296</v>
      </c>
      <c r="BE68" s="58" t="s">
        <v>297</v>
      </c>
      <c r="BF68" s="57" t="s">
        <v>296</v>
      </c>
      <c r="BG68" s="58" t="s">
        <v>297</v>
      </c>
      <c r="BH68" s="57" t="s">
        <v>296</v>
      </c>
      <c r="BI68" s="58" t="s">
        <v>297</v>
      </c>
      <c r="BJ68" s="57" t="s">
        <v>296</v>
      </c>
      <c r="BK68" s="58" t="s">
        <v>297</v>
      </c>
      <c r="BL68" s="57" t="s">
        <v>296</v>
      </c>
      <c r="BM68" s="58" t="s">
        <v>297</v>
      </c>
      <c r="BN68" s="57" t="s">
        <v>296</v>
      </c>
      <c r="BO68" s="58" t="s">
        <v>297</v>
      </c>
    </row>
    <row r="69" spans="1:67" x14ac:dyDescent="0.25">
      <c r="A69" s="84" t="s">
        <v>271</v>
      </c>
      <c r="B69" s="84"/>
      <c r="C69" s="84"/>
      <c r="D69" s="84"/>
      <c r="E69" s="84"/>
      <c r="F69" s="84"/>
      <c r="G69" s="84"/>
      <c r="H69" s="84">
        <v>34561</v>
      </c>
      <c r="I69" s="84">
        <v>176934</v>
      </c>
      <c r="J69" s="84"/>
      <c r="K69" s="84"/>
      <c r="L69" s="84"/>
      <c r="M69" s="84"/>
      <c r="N69" s="84"/>
      <c r="O69" s="84"/>
      <c r="P69" s="84"/>
      <c r="Q69" s="84"/>
      <c r="R69" s="84">
        <v>45552</v>
      </c>
      <c r="S69" s="84">
        <v>46678</v>
      </c>
      <c r="T69" s="84"/>
      <c r="U69" s="84"/>
      <c r="V69" s="84">
        <v>28104</v>
      </c>
      <c r="W69" s="84">
        <v>121934</v>
      </c>
      <c r="X69" s="84">
        <v>307488</v>
      </c>
      <c r="Y69" s="84">
        <v>1081921</v>
      </c>
      <c r="Z69" s="84">
        <v>-6</v>
      </c>
      <c r="AA69" s="84">
        <v>849</v>
      </c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>
        <v>360766.49199999997</v>
      </c>
      <c r="AM69" s="84">
        <v>958686.22451112792</v>
      </c>
      <c r="AN69" s="84"/>
      <c r="AO69" s="84"/>
      <c r="AP69" s="84"/>
      <c r="AQ69" s="84"/>
      <c r="AR69" s="84">
        <v>2376</v>
      </c>
      <c r="AS69" s="84">
        <v>275868</v>
      </c>
      <c r="AT69" s="84"/>
      <c r="AU69" s="84"/>
      <c r="AV69" s="84"/>
      <c r="AW69" s="84"/>
      <c r="AX69" s="84">
        <v>249</v>
      </c>
      <c r="AY69" s="84">
        <v>1083</v>
      </c>
      <c r="AZ69" s="84"/>
      <c r="BA69" s="84"/>
      <c r="BB69" s="84"/>
      <c r="BC69" s="84"/>
      <c r="BD69" s="84"/>
      <c r="BE69" s="84"/>
      <c r="BF69" s="84">
        <v>937047</v>
      </c>
      <c r="BG69" s="84">
        <v>2722712</v>
      </c>
      <c r="BH69" s="103">
        <v>392220</v>
      </c>
      <c r="BI69" s="103">
        <v>1246268</v>
      </c>
      <c r="BJ69" s="103">
        <v>306200</v>
      </c>
      <c r="BK69" s="103">
        <v>898822</v>
      </c>
      <c r="BL69" s="84"/>
      <c r="BM69" s="84"/>
      <c r="BN69" s="73">
        <f t="shared" ref="BN69:BN73" si="14">SUM(B69+D69+F69+H69+J69+L69+N69+P69+R69+T69+V69+X69+Z69+AB69+AD69+AF69+AH69+AJ69+AL69+AN69+AP69+AR69+AT69+AV69+AX69+AZ69+BB69+BD69+BF69+BH69+BJ69+BL69)</f>
        <v>2414557.4920000001</v>
      </c>
      <c r="BO69" s="73">
        <f t="shared" ref="BO69:BO73" si="15">SUM(C69+E69+G69+I69+K69+M69+O69+Q69+S69+U69+W69+Y69+AA69+AC69+AE69+AG69+AI69+AK69+AM69+AO69+AQ69+AS69+AU69+AW69+AY69+BA69+BC69+BE69+BG69+BI69+BK69+BM69)</f>
        <v>7531755.2245111279</v>
      </c>
    </row>
    <row r="70" spans="1:67" x14ac:dyDescent="0.25">
      <c r="A70" s="84" t="s">
        <v>274</v>
      </c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>
        <v>-1446</v>
      </c>
      <c r="X70" s="84">
        <v>43898</v>
      </c>
      <c r="Y70" s="84">
        <v>112618</v>
      </c>
      <c r="Z70" s="84">
        <v>-4738</v>
      </c>
      <c r="AA70" s="84">
        <v>-4738</v>
      </c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>
        <v>295187.43045999995</v>
      </c>
      <c r="AM70" s="84">
        <v>610008.79299999995</v>
      </c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4"/>
      <c r="BD70" s="84"/>
      <c r="BE70" s="84"/>
      <c r="BF70" s="84">
        <v>427927</v>
      </c>
      <c r="BG70" s="84">
        <v>1419162</v>
      </c>
      <c r="BH70" s="103">
        <v>242241</v>
      </c>
      <c r="BI70" s="103">
        <v>1612327</v>
      </c>
      <c r="BJ70" s="103">
        <v>45098</v>
      </c>
      <c r="BK70" s="103">
        <v>183191</v>
      </c>
      <c r="BL70" s="84"/>
      <c r="BM70" s="84"/>
      <c r="BN70" s="73">
        <f t="shared" si="14"/>
        <v>1049613.4304599999</v>
      </c>
      <c r="BO70" s="73">
        <f t="shared" si="15"/>
        <v>3931122.7930000001</v>
      </c>
    </row>
    <row r="71" spans="1:67" x14ac:dyDescent="0.25">
      <c r="A71" s="84" t="s">
        <v>275</v>
      </c>
      <c r="B71" s="84"/>
      <c r="C71" s="84"/>
      <c r="D71" s="84"/>
      <c r="E71" s="84"/>
      <c r="F71" s="84"/>
      <c r="G71" s="84"/>
      <c r="H71" s="84">
        <v>34412</v>
      </c>
      <c r="I71" s="84">
        <v>174473</v>
      </c>
      <c r="J71" s="84"/>
      <c r="K71" s="84"/>
      <c r="L71" s="84"/>
      <c r="M71" s="84"/>
      <c r="N71" s="84"/>
      <c r="O71" s="84"/>
      <c r="P71" s="84"/>
      <c r="Q71" s="84"/>
      <c r="R71" s="84">
        <v>2278</v>
      </c>
      <c r="S71" s="84">
        <v>2334</v>
      </c>
      <c r="T71" s="84"/>
      <c r="U71" s="84"/>
      <c r="V71" s="84">
        <v>-28079</v>
      </c>
      <c r="W71" s="84">
        <v>-121820</v>
      </c>
      <c r="X71" s="84">
        <v>211785</v>
      </c>
      <c r="Y71" s="84">
        <v>965580</v>
      </c>
      <c r="Z71" s="84">
        <v>-940</v>
      </c>
      <c r="AA71" s="84">
        <v>-86</v>
      </c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>
        <v>351100.55166999996</v>
      </c>
      <c r="AM71" s="84">
        <v>1028434.035</v>
      </c>
      <c r="AN71" s="84"/>
      <c r="AO71" s="84"/>
      <c r="AP71" s="84"/>
      <c r="AQ71" s="84"/>
      <c r="AR71" s="84">
        <v>4845</v>
      </c>
      <c r="AS71" s="84">
        <v>227181</v>
      </c>
      <c r="AT71" s="84"/>
      <c r="AU71" s="84"/>
      <c r="AV71" s="84"/>
      <c r="AW71" s="84"/>
      <c r="AX71" s="84">
        <v>247</v>
      </c>
      <c r="AY71" s="84">
        <v>1075</v>
      </c>
      <c r="AZ71" s="84"/>
      <c r="BA71" s="84"/>
      <c r="BB71" s="84"/>
      <c r="BC71" s="84"/>
      <c r="BD71" s="84"/>
      <c r="BE71" s="84"/>
      <c r="BF71" s="84">
        <v>842442</v>
      </c>
      <c r="BG71" s="84">
        <v>2678664</v>
      </c>
      <c r="BH71" s="103">
        <v>423362</v>
      </c>
      <c r="BI71" s="103">
        <v>1310711</v>
      </c>
      <c r="BJ71" s="103">
        <v>298751</v>
      </c>
      <c r="BK71" s="103">
        <v>944044</v>
      </c>
      <c r="BL71" s="84"/>
      <c r="BM71" s="84"/>
      <c r="BN71" s="73">
        <f t="shared" si="14"/>
        <v>2140203.55167</v>
      </c>
      <c r="BO71" s="73">
        <f t="shared" si="15"/>
        <v>7210590.0350000001</v>
      </c>
    </row>
    <row r="72" spans="1:67" x14ac:dyDescent="0.25">
      <c r="A72" s="84" t="s">
        <v>229</v>
      </c>
      <c r="B72" s="84"/>
      <c r="C72" s="84"/>
      <c r="D72" s="84"/>
      <c r="E72" s="84"/>
      <c r="F72" s="84"/>
      <c r="G72" s="84"/>
      <c r="H72" s="84">
        <v>149</v>
      </c>
      <c r="I72" s="84">
        <v>2461</v>
      </c>
      <c r="J72" s="84"/>
      <c r="K72" s="84"/>
      <c r="L72" s="84"/>
      <c r="M72" s="84"/>
      <c r="N72" s="84"/>
      <c r="O72" s="84"/>
      <c r="P72" s="84"/>
      <c r="Q72" s="84"/>
      <c r="R72" s="84">
        <v>43275</v>
      </c>
      <c r="S72" s="84">
        <v>44344</v>
      </c>
      <c r="T72" s="84"/>
      <c r="U72" s="84"/>
      <c r="V72" s="84">
        <v>24</v>
      </c>
      <c r="W72" s="84">
        <v>-1332</v>
      </c>
      <c r="X72" s="84">
        <v>139601</v>
      </c>
      <c r="Y72" s="84">
        <v>228959</v>
      </c>
      <c r="Z72" s="84">
        <v>-3804</v>
      </c>
      <c r="AA72" s="84">
        <v>-3803</v>
      </c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>
        <v>304853.37078999996</v>
      </c>
      <c r="AM72" s="84">
        <v>540260.98251112795</v>
      </c>
      <c r="AN72" s="84"/>
      <c r="AO72" s="84"/>
      <c r="AP72" s="84"/>
      <c r="AQ72" s="84"/>
      <c r="AR72" s="84">
        <v>-2469</v>
      </c>
      <c r="AS72" s="84">
        <v>48687</v>
      </c>
      <c r="AT72" s="84"/>
      <c r="AU72" s="84"/>
      <c r="AV72" s="84"/>
      <c r="AW72" s="84"/>
      <c r="AX72" s="84">
        <v>2</v>
      </c>
      <c r="AY72" s="84">
        <v>8</v>
      </c>
      <c r="AZ72" s="84"/>
      <c r="BA72" s="84"/>
      <c r="BB72" s="84"/>
      <c r="BC72" s="84"/>
      <c r="BD72" s="84"/>
      <c r="BE72" s="84"/>
      <c r="BF72" s="84">
        <v>522532</v>
      </c>
      <c r="BG72" s="84">
        <v>1463210</v>
      </c>
      <c r="BH72" s="103">
        <v>211099</v>
      </c>
      <c r="BI72" s="103">
        <v>1547884</v>
      </c>
      <c r="BJ72" s="103">
        <v>52547</v>
      </c>
      <c r="BK72" s="103">
        <v>137969</v>
      </c>
      <c r="BL72" s="84"/>
      <c r="BM72" s="84"/>
      <c r="BN72" s="73">
        <f t="shared" si="14"/>
        <v>1267809.3707900001</v>
      </c>
      <c r="BO72" s="73">
        <f t="shared" si="15"/>
        <v>4008647.9825111278</v>
      </c>
    </row>
    <row r="73" spans="1:67" x14ac:dyDescent="0.25">
      <c r="A73" s="84" t="s">
        <v>230</v>
      </c>
      <c r="B73" s="84"/>
      <c r="C73" s="84"/>
      <c r="D73" s="84"/>
      <c r="E73" s="84"/>
      <c r="F73" s="84"/>
      <c r="G73" s="84"/>
      <c r="H73" s="84">
        <v>417</v>
      </c>
      <c r="I73" s="84">
        <v>81229</v>
      </c>
      <c r="J73" s="84"/>
      <c r="K73" s="84"/>
      <c r="L73" s="84"/>
      <c r="M73" s="84"/>
      <c r="N73" s="84"/>
      <c r="O73" s="84"/>
      <c r="P73" s="84"/>
      <c r="Q73" s="84"/>
      <c r="R73" s="84">
        <v>10670</v>
      </c>
      <c r="S73" s="84">
        <v>28401</v>
      </c>
      <c r="T73" s="84"/>
      <c r="U73" s="84"/>
      <c r="V73" s="84">
        <v>33</v>
      </c>
      <c r="W73" s="84">
        <v>-1293</v>
      </c>
      <c r="X73" s="84">
        <v>71715</v>
      </c>
      <c r="Y73" s="84">
        <v>210120</v>
      </c>
      <c r="Z73" s="84">
        <v>-3796</v>
      </c>
      <c r="AA73" s="84">
        <v>-3639</v>
      </c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>
        <v>250095.63578999997</v>
      </c>
      <c r="AM73" s="84">
        <v>601957.81051112793</v>
      </c>
      <c r="AN73" s="84"/>
      <c r="AO73" s="84"/>
      <c r="AP73" s="84"/>
      <c r="AQ73" s="84"/>
      <c r="AR73" s="84">
        <v>-2183</v>
      </c>
      <c r="AS73" s="84">
        <v>49005</v>
      </c>
      <c r="AT73" s="84"/>
      <c r="AU73" s="84"/>
      <c r="AV73" s="84"/>
      <c r="AW73" s="84"/>
      <c r="AX73" s="84">
        <v>1</v>
      </c>
      <c r="AY73" s="84">
        <v>8</v>
      </c>
      <c r="AZ73" s="84"/>
      <c r="BA73" s="84"/>
      <c r="BB73" s="84"/>
      <c r="BC73" s="84"/>
      <c r="BD73" s="84"/>
      <c r="BE73" s="84"/>
      <c r="BF73" s="84">
        <v>452081</v>
      </c>
      <c r="BG73" s="84">
        <v>1682552</v>
      </c>
      <c r="BH73" s="103">
        <v>238601</v>
      </c>
      <c r="BI73" s="103">
        <v>1214365</v>
      </c>
      <c r="BJ73" s="103">
        <v>91829</v>
      </c>
      <c r="BK73" s="103">
        <v>274663</v>
      </c>
      <c r="BL73" s="84"/>
      <c r="BM73" s="84"/>
      <c r="BN73" s="73">
        <f t="shared" si="14"/>
        <v>1109463.63579</v>
      </c>
      <c r="BO73" s="73">
        <f t="shared" si="15"/>
        <v>4137368.810511128</v>
      </c>
    </row>
    <row r="75" spans="1:67" x14ac:dyDescent="0.25">
      <c r="A75" s="24" t="s">
        <v>224</v>
      </c>
    </row>
    <row r="76" spans="1:67" x14ac:dyDescent="0.25">
      <c r="A76" s="1" t="s">
        <v>0</v>
      </c>
      <c r="B76" s="119" t="s">
        <v>1</v>
      </c>
      <c r="C76" s="120"/>
      <c r="D76" s="119" t="s">
        <v>282</v>
      </c>
      <c r="E76" s="120"/>
      <c r="F76" s="119" t="s">
        <v>2</v>
      </c>
      <c r="G76" s="120"/>
      <c r="H76" s="119" t="s">
        <v>3</v>
      </c>
      <c r="I76" s="120"/>
      <c r="J76" s="119" t="s">
        <v>4</v>
      </c>
      <c r="K76" s="120"/>
      <c r="L76" s="119" t="s">
        <v>283</v>
      </c>
      <c r="M76" s="120"/>
      <c r="N76" s="119" t="s">
        <v>6</v>
      </c>
      <c r="O76" s="120"/>
      <c r="P76" s="119" t="s">
        <v>5</v>
      </c>
      <c r="Q76" s="120"/>
      <c r="R76" s="119" t="s">
        <v>7</v>
      </c>
      <c r="S76" s="120"/>
      <c r="T76" s="119" t="s">
        <v>284</v>
      </c>
      <c r="U76" s="120"/>
      <c r="V76" s="119" t="s">
        <v>8</v>
      </c>
      <c r="W76" s="120"/>
      <c r="X76" s="119" t="s">
        <v>9</v>
      </c>
      <c r="Y76" s="120"/>
      <c r="Z76" s="119" t="s">
        <v>10</v>
      </c>
      <c r="AA76" s="120"/>
      <c r="AB76" s="119" t="s">
        <v>293</v>
      </c>
      <c r="AC76" s="120"/>
      <c r="AD76" s="119" t="s">
        <v>11</v>
      </c>
      <c r="AE76" s="120"/>
      <c r="AF76" s="119" t="s">
        <v>12</v>
      </c>
      <c r="AG76" s="120"/>
      <c r="AH76" s="119" t="s">
        <v>285</v>
      </c>
      <c r="AI76" s="120"/>
      <c r="AJ76" s="119" t="s">
        <v>290</v>
      </c>
      <c r="AK76" s="120"/>
      <c r="AL76" s="119" t="s">
        <v>13</v>
      </c>
      <c r="AM76" s="120"/>
      <c r="AN76" s="119" t="s">
        <v>286</v>
      </c>
      <c r="AO76" s="120"/>
      <c r="AP76" s="119" t="s">
        <v>287</v>
      </c>
      <c r="AQ76" s="120"/>
      <c r="AR76" s="119" t="s">
        <v>291</v>
      </c>
      <c r="AS76" s="120"/>
      <c r="AT76" s="119" t="s">
        <v>294</v>
      </c>
      <c r="AU76" s="120"/>
      <c r="AV76" s="119" t="s">
        <v>14</v>
      </c>
      <c r="AW76" s="120"/>
      <c r="AX76" s="119" t="s">
        <v>15</v>
      </c>
      <c r="AY76" s="120"/>
      <c r="AZ76" s="119" t="s">
        <v>16</v>
      </c>
      <c r="BA76" s="120"/>
      <c r="BB76" s="119" t="s">
        <v>17</v>
      </c>
      <c r="BC76" s="120"/>
      <c r="BD76" s="119" t="s">
        <v>18</v>
      </c>
      <c r="BE76" s="120"/>
      <c r="BF76" s="119" t="s">
        <v>288</v>
      </c>
      <c r="BG76" s="120"/>
      <c r="BH76" s="119" t="s">
        <v>289</v>
      </c>
      <c r="BI76" s="120"/>
      <c r="BJ76" s="119" t="s">
        <v>19</v>
      </c>
      <c r="BK76" s="120"/>
      <c r="BL76" s="119" t="s">
        <v>20</v>
      </c>
      <c r="BM76" s="120"/>
      <c r="BN76" s="121" t="s">
        <v>21</v>
      </c>
      <c r="BO76" s="122"/>
    </row>
    <row r="77" spans="1:67" ht="30" x14ac:dyDescent="0.25">
      <c r="A77" s="1"/>
      <c r="B77" s="57" t="s">
        <v>296</v>
      </c>
      <c r="C77" s="58" t="s">
        <v>297</v>
      </c>
      <c r="D77" s="57" t="s">
        <v>296</v>
      </c>
      <c r="E77" s="58" t="s">
        <v>297</v>
      </c>
      <c r="F77" s="57" t="s">
        <v>296</v>
      </c>
      <c r="G77" s="58" t="s">
        <v>297</v>
      </c>
      <c r="H77" s="57" t="s">
        <v>296</v>
      </c>
      <c r="I77" s="58" t="s">
        <v>297</v>
      </c>
      <c r="J77" s="57" t="s">
        <v>296</v>
      </c>
      <c r="K77" s="58" t="s">
        <v>297</v>
      </c>
      <c r="L77" s="57" t="s">
        <v>296</v>
      </c>
      <c r="M77" s="58" t="s">
        <v>297</v>
      </c>
      <c r="N77" s="57" t="s">
        <v>296</v>
      </c>
      <c r="O77" s="58" t="s">
        <v>297</v>
      </c>
      <c r="P77" s="57" t="s">
        <v>296</v>
      </c>
      <c r="Q77" s="58" t="s">
        <v>297</v>
      </c>
      <c r="R77" s="57" t="s">
        <v>296</v>
      </c>
      <c r="S77" s="58" t="s">
        <v>297</v>
      </c>
      <c r="T77" s="57" t="s">
        <v>296</v>
      </c>
      <c r="U77" s="58" t="s">
        <v>297</v>
      </c>
      <c r="V77" s="57" t="s">
        <v>296</v>
      </c>
      <c r="W77" s="58" t="s">
        <v>297</v>
      </c>
      <c r="X77" s="57" t="s">
        <v>296</v>
      </c>
      <c r="Y77" s="58" t="s">
        <v>297</v>
      </c>
      <c r="Z77" s="57" t="s">
        <v>296</v>
      </c>
      <c r="AA77" s="58" t="s">
        <v>297</v>
      </c>
      <c r="AB77" s="57" t="s">
        <v>296</v>
      </c>
      <c r="AC77" s="58" t="s">
        <v>297</v>
      </c>
      <c r="AD77" s="57" t="s">
        <v>296</v>
      </c>
      <c r="AE77" s="58" t="s">
        <v>297</v>
      </c>
      <c r="AF77" s="57" t="s">
        <v>296</v>
      </c>
      <c r="AG77" s="58" t="s">
        <v>297</v>
      </c>
      <c r="AH77" s="57" t="s">
        <v>296</v>
      </c>
      <c r="AI77" s="58" t="s">
        <v>297</v>
      </c>
      <c r="AJ77" s="57" t="s">
        <v>296</v>
      </c>
      <c r="AK77" s="58" t="s">
        <v>297</v>
      </c>
      <c r="AL77" s="57" t="s">
        <v>296</v>
      </c>
      <c r="AM77" s="58" t="s">
        <v>297</v>
      </c>
      <c r="AN77" s="57" t="s">
        <v>296</v>
      </c>
      <c r="AO77" s="58" t="s">
        <v>297</v>
      </c>
      <c r="AP77" s="57" t="s">
        <v>296</v>
      </c>
      <c r="AQ77" s="58" t="s">
        <v>297</v>
      </c>
      <c r="AR77" s="57" t="s">
        <v>296</v>
      </c>
      <c r="AS77" s="58" t="s">
        <v>297</v>
      </c>
      <c r="AT77" s="57" t="s">
        <v>296</v>
      </c>
      <c r="AU77" s="58" t="s">
        <v>297</v>
      </c>
      <c r="AV77" s="57" t="s">
        <v>296</v>
      </c>
      <c r="AW77" s="58" t="s">
        <v>297</v>
      </c>
      <c r="AX77" s="57" t="s">
        <v>296</v>
      </c>
      <c r="AY77" s="58" t="s">
        <v>297</v>
      </c>
      <c r="AZ77" s="57" t="s">
        <v>296</v>
      </c>
      <c r="BA77" s="58" t="s">
        <v>297</v>
      </c>
      <c r="BB77" s="57" t="s">
        <v>296</v>
      </c>
      <c r="BC77" s="58" t="s">
        <v>297</v>
      </c>
      <c r="BD77" s="57" t="s">
        <v>296</v>
      </c>
      <c r="BE77" s="58" t="s">
        <v>297</v>
      </c>
      <c r="BF77" s="57" t="s">
        <v>296</v>
      </c>
      <c r="BG77" s="58" t="s">
        <v>297</v>
      </c>
      <c r="BH77" s="57" t="s">
        <v>296</v>
      </c>
      <c r="BI77" s="58" t="s">
        <v>297</v>
      </c>
      <c r="BJ77" s="57" t="s">
        <v>296</v>
      </c>
      <c r="BK77" s="58" t="s">
        <v>297</v>
      </c>
      <c r="BL77" s="57" t="s">
        <v>296</v>
      </c>
      <c r="BM77" s="58" t="s">
        <v>297</v>
      </c>
      <c r="BN77" s="57" t="s">
        <v>296</v>
      </c>
      <c r="BO77" s="58" t="s">
        <v>297</v>
      </c>
    </row>
    <row r="78" spans="1:67" x14ac:dyDescent="0.25">
      <c r="A78" s="84" t="s">
        <v>271</v>
      </c>
      <c r="B78" s="84">
        <f t="shared" ref="B78:AG78" si="16">B87-B69-B60-B51-B42-B33-B24-B15-B6</f>
        <v>108</v>
      </c>
      <c r="C78" s="84">
        <f t="shared" si="16"/>
        <v>108</v>
      </c>
      <c r="D78" s="84">
        <f t="shared" si="16"/>
        <v>0</v>
      </c>
      <c r="E78" s="84">
        <f t="shared" si="16"/>
        <v>0</v>
      </c>
      <c r="F78" s="84">
        <f t="shared" si="16"/>
        <v>30905459</v>
      </c>
      <c r="G78" s="84">
        <f t="shared" si="16"/>
        <v>120525744</v>
      </c>
      <c r="H78" s="84">
        <f t="shared" si="16"/>
        <v>3234771</v>
      </c>
      <c r="I78" s="84">
        <f t="shared" si="16"/>
        <v>34399613</v>
      </c>
      <c r="J78" s="84">
        <f t="shared" si="16"/>
        <v>932147</v>
      </c>
      <c r="K78" s="84">
        <f t="shared" si="16"/>
        <v>8554665</v>
      </c>
      <c r="L78" s="84">
        <f t="shared" si="16"/>
        <v>128350</v>
      </c>
      <c r="M78" s="84">
        <f t="shared" si="16"/>
        <v>382591</v>
      </c>
      <c r="N78" s="84">
        <f t="shared" si="16"/>
        <v>3458465.78</v>
      </c>
      <c r="O78" s="84">
        <f t="shared" si="16"/>
        <v>10622819.609999999</v>
      </c>
      <c r="P78" s="84">
        <f t="shared" si="16"/>
        <v>137</v>
      </c>
      <c r="Q78" s="84">
        <f t="shared" si="16"/>
        <v>2267</v>
      </c>
      <c r="R78" s="84">
        <f t="shared" si="16"/>
        <v>3310415</v>
      </c>
      <c r="S78" s="84">
        <f t="shared" si="16"/>
        <v>13727764</v>
      </c>
      <c r="T78" s="84">
        <f t="shared" si="16"/>
        <v>175056</v>
      </c>
      <c r="U78" s="84">
        <f t="shared" ref="U78" si="17">U87-U69-U60-U51-U42-U33-U24-U15-U6</f>
        <v>746869</v>
      </c>
      <c r="V78" s="84">
        <f t="shared" si="16"/>
        <v>7852874</v>
      </c>
      <c r="W78" s="84">
        <f t="shared" si="16"/>
        <v>30930975</v>
      </c>
      <c r="X78" s="84">
        <f t="shared" si="16"/>
        <v>1778871</v>
      </c>
      <c r="Y78" s="84">
        <f t="shared" si="16"/>
        <v>7704608</v>
      </c>
      <c r="Z78" s="84">
        <f t="shared" si="16"/>
        <v>2370677</v>
      </c>
      <c r="AA78" s="84">
        <f t="shared" si="16"/>
        <v>19019015</v>
      </c>
      <c r="AB78" s="84">
        <f t="shared" si="16"/>
        <v>34080</v>
      </c>
      <c r="AC78" s="84">
        <f t="shared" si="16"/>
        <v>131985</v>
      </c>
      <c r="AD78" s="84">
        <f t="shared" si="16"/>
        <v>180079</v>
      </c>
      <c r="AE78" s="84">
        <f t="shared" si="16"/>
        <v>737723</v>
      </c>
      <c r="AF78" s="84">
        <f t="shared" si="16"/>
        <v>332997</v>
      </c>
      <c r="AG78" s="84">
        <f t="shared" si="16"/>
        <v>612501</v>
      </c>
      <c r="AH78" s="84">
        <f t="shared" ref="AH78" si="18">AH87-AH69-AH60-AH51-AH42-AH33-AH24-AH15-AH6</f>
        <v>0</v>
      </c>
      <c r="AI78" s="84">
        <f t="shared" ref="AI78:BM78" si="19">AI87-AI69-AI60-AI51-AI42-AI33-AI24-AI15-AI6</f>
        <v>0</v>
      </c>
      <c r="AJ78" s="84">
        <f t="shared" si="19"/>
        <v>0</v>
      </c>
      <c r="AK78" s="84">
        <f t="shared" si="19"/>
        <v>0</v>
      </c>
      <c r="AL78" s="84">
        <f t="shared" si="19"/>
        <v>6526747.4166282751</v>
      </c>
      <c r="AM78" s="84">
        <f t="shared" si="19"/>
        <v>16876310.956515856</v>
      </c>
      <c r="AN78" s="84">
        <f t="shared" si="19"/>
        <v>12633</v>
      </c>
      <c r="AO78" s="84">
        <f t="shared" si="19"/>
        <v>60814</v>
      </c>
      <c r="AP78" s="84">
        <f t="shared" si="19"/>
        <v>169034</v>
      </c>
      <c r="AQ78" s="84">
        <f t="shared" si="19"/>
        <v>583885</v>
      </c>
      <c r="AR78" s="84">
        <f t="shared" si="19"/>
        <v>5416705</v>
      </c>
      <c r="AS78" s="84">
        <f t="shared" si="19"/>
        <v>26254795</v>
      </c>
      <c r="AT78" s="84">
        <f t="shared" si="19"/>
        <v>0</v>
      </c>
      <c r="AU78" s="84">
        <f t="shared" si="19"/>
        <v>0</v>
      </c>
      <c r="AV78" s="84">
        <f t="shared" si="19"/>
        <v>68320</v>
      </c>
      <c r="AW78" s="84">
        <f t="shared" si="19"/>
        <v>722315</v>
      </c>
      <c r="AX78" s="84">
        <f t="shared" si="19"/>
        <v>8185665</v>
      </c>
      <c r="AY78" s="84">
        <f t="shared" si="19"/>
        <v>24812490</v>
      </c>
      <c r="AZ78" s="84">
        <f t="shared" si="19"/>
        <v>49130</v>
      </c>
      <c r="BA78" s="84">
        <f t="shared" si="19"/>
        <v>164691</v>
      </c>
      <c r="BB78" s="84">
        <f t="shared" si="19"/>
        <v>32618185</v>
      </c>
      <c r="BC78" s="84">
        <f t="shared" si="19"/>
        <v>93885387</v>
      </c>
      <c r="BD78" s="84">
        <f t="shared" si="19"/>
        <v>504853</v>
      </c>
      <c r="BE78" s="84">
        <f t="shared" si="19"/>
        <v>2269633</v>
      </c>
      <c r="BF78" s="84">
        <f t="shared" si="19"/>
        <v>6813468</v>
      </c>
      <c r="BG78" s="84">
        <f t="shared" si="19"/>
        <v>23331125</v>
      </c>
      <c r="BH78" s="84">
        <f t="shared" si="19"/>
        <v>3371406</v>
      </c>
      <c r="BI78" s="84">
        <f t="shared" si="19"/>
        <v>12745494</v>
      </c>
      <c r="BJ78" s="84">
        <f t="shared" si="19"/>
        <v>3810990</v>
      </c>
      <c r="BK78" s="84">
        <f t="shared" si="19"/>
        <v>14210014</v>
      </c>
      <c r="BL78" s="84">
        <f t="shared" si="19"/>
        <v>2827746</v>
      </c>
      <c r="BM78" s="84">
        <f t="shared" si="19"/>
        <v>14213709</v>
      </c>
      <c r="BN78" s="73">
        <f t="shared" ref="BN78:BN82" si="20">SUM(B78+D78+F78+H78+J78+L78+N78+P78+R78+T78+V78+X78+Z78+AB78+AD78+AF78+AH78+AJ78+AL78+AN78+AP78+AR78+AT78+AV78+AX78+AZ78+BB78+BD78+BF78+BH78+BJ78+BL78)</f>
        <v>125069369.19662827</v>
      </c>
      <c r="BO78" s="73">
        <f t="shared" ref="BO78:BO82" si="21">SUM(C78+E78+G78+I78+K78+M78+O78+Q78+S78+U78+W78+Y78+AA78+AC78+AE78+AG78+AI78+AK78+AM78+AO78+AQ78+AS78+AU78+AW78+AY78+BA78+BC78+BE78+BG78+BI78+BK78+BM78)</f>
        <v>478229910.56651586</v>
      </c>
    </row>
    <row r="79" spans="1:67" x14ac:dyDescent="0.25">
      <c r="A79" s="84" t="s">
        <v>274</v>
      </c>
      <c r="B79" s="84">
        <f t="shared" ref="B79:AG79" si="22">B88-B70-B61-B52-B43-B34-B25-B16-B7</f>
        <v>0</v>
      </c>
      <c r="C79" s="84">
        <f t="shared" si="22"/>
        <v>0</v>
      </c>
      <c r="D79" s="84">
        <f t="shared" si="22"/>
        <v>0</v>
      </c>
      <c r="E79" s="84">
        <f t="shared" si="22"/>
        <v>0</v>
      </c>
      <c r="F79" s="84">
        <f t="shared" si="22"/>
        <v>-1</v>
      </c>
      <c r="G79" s="84">
        <f t="shared" si="22"/>
        <v>-90</v>
      </c>
      <c r="H79" s="84">
        <f t="shared" si="22"/>
        <v>1</v>
      </c>
      <c r="I79" s="84">
        <f t="shared" si="22"/>
        <v>8199</v>
      </c>
      <c r="J79" s="84">
        <f t="shared" si="22"/>
        <v>-1</v>
      </c>
      <c r="K79" s="84">
        <f t="shared" si="22"/>
        <v>-1</v>
      </c>
      <c r="L79" s="84">
        <f t="shared" si="22"/>
        <v>1</v>
      </c>
      <c r="M79" s="84">
        <f t="shared" si="22"/>
        <v>1855</v>
      </c>
      <c r="N79" s="84">
        <f t="shared" si="22"/>
        <v>0</v>
      </c>
      <c r="O79" s="84">
        <f t="shared" si="22"/>
        <v>0</v>
      </c>
      <c r="P79" s="84">
        <f t="shared" si="22"/>
        <v>0</v>
      </c>
      <c r="Q79" s="84">
        <f t="shared" si="22"/>
        <v>534</v>
      </c>
      <c r="R79" s="84">
        <f t="shared" si="22"/>
        <v>0</v>
      </c>
      <c r="S79" s="84">
        <f t="shared" si="22"/>
        <v>109</v>
      </c>
      <c r="T79" s="84">
        <f t="shared" si="22"/>
        <v>55613</v>
      </c>
      <c r="U79" s="84">
        <f t="shared" ref="U79" si="23">U88-U70-U61-U52-U43-U34-U25-U16-U7</f>
        <v>792856</v>
      </c>
      <c r="V79" s="84">
        <f t="shared" si="22"/>
        <v>11196</v>
      </c>
      <c r="W79" s="84">
        <f t="shared" si="22"/>
        <v>183155</v>
      </c>
      <c r="X79" s="84">
        <f t="shared" si="22"/>
        <v>25897</v>
      </c>
      <c r="Y79" s="84">
        <f t="shared" si="22"/>
        <v>176295</v>
      </c>
      <c r="Z79" s="84">
        <f t="shared" si="22"/>
        <v>5908</v>
      </c>
      <c r="AA79" s="84">
        <f t="shared" si="22"/>
        <v>77940</v>
      </c>
      <c r="AB79" s="84">
        <f t="shared" si="22"/>
        <v>0</v>
      </c>
      <c r="AC79" s="84">
        <f t="shared" si="22"/>
        <v>521</v>
      </c>
      <c r="AD79" s="84">
        <f t="shared" si="22"/>
        <v>0</v>
      </c>
      <c r="AE79" s="84">
        <f t="shared" si="22"/>
        <v>1083</v>
      </c>
      <c r="AF79" s="84">
        <f t="shared" si="22"/>
        <v>0</v>
      </c>
      <c r="AG79" s="84">
        <f t="shared" si="22"/>
        <v>730</v>
      </c>
      <c r="AH79" s="84">
        <f t="shared" ref="AH79" si="24">AH88-AH70-AH61-AH52-AH43-AH34-AH25-AH16-AH7</f>
        <v>0</v>
      </c>
      <c r="AI79" s="84">
        <f t="shared" ref="AI79:BM79" si="25">AI88-AI70-AI61-AI52-AI43-AI34-AI25-AI16-AI7</f>
        <v>0</v>
      </c>
      <c r="AJ79" s="84">
        <f t="shared" si="25"/>
        <v>0</v>
      </c>
      <c r="AK79" s="84">
        <f t="shared" si="25"/>
        <v>0</v>
      </c>
      <c r="AL79" s="84">
        <f t="shared" si="25"/>
        <v>47426.424843349145</v>
      </c>
      <c r="AM79" s="84">
        <f t="shared" si="25"/>
        <v>113614.7292258516</v>
      </c>
      <c r="AN79" s="84">
        <f t="shared" si="25"/>
        <v>0</v>
      </c>
      <c r="AO79" s="84">
        <f t="shared" si="25"/>
        <v>0</v>
      </c>
      <c r="AP79" s="84">
        <f t="shared" si="25"/>
        <v>70407</v>
      </c>
      <c r="AQ79" s="84">
        <f t="shared" si="25"/>
        <v>148954</v>
      </c>
      <c r="AR79" s="84">
        <f t="shared" si="25"/>
        <v>1</v>
      </c>
      <c r="AS79" s="84">
        <f t="shared" si="25"/>
        <v>1877</v>
      </c>
      <c r="AT79" s="84">
        <f t="shared" si="25"/>
        <v>0</v>
      </c>
      <c r="AU79" s="84">
        <f t="shared" si="25"/>
        <v>0</v>
      </c>
      <c r="AV79" s="84">
        <f t="shared" si="25"/>
        <v>8</v>
      </c>
      <c r="AW79" s="84">
        <f t="shared" si="25"/>
        <v>163</v>
      </c>
      <c r="AX79" s="84">
        <f t="shared" si="25"/>
        <v>-1</v>
      </c>
      <c r="AY79" s="84">
        <f t="shared" si="25"/>
        <v>814</v>
      </c>
      <c r="AZ79" s="84">
        <f t="shared" si="25"/>
        <v>-18</v>
      </c>
      <c r="BA79" s="84">
        <f t="shared" si="25"/>
        <v>0</v>
      </c>
      <c r="BB79" s="84">
        <f t="shared" si="25"/>
        <v>0</v>
      </c>
      <c r="BC79" s="84">
        <f t="shared" si="25"/>
        <v>0</v>
      </c>
      <c r="BD79" s="84">
        <f t="shared" si="25"/>
        <v>0</v>
      </c>
      <c r="BE79" s="84">
        <f t="shared" si="25"/>
        <v>12759</v>
      </c>
      <c r="BF79" s="84">
        <f t="shared" si="25"/>
        <v>2764</v>
      </c>
      <c r="BG79" s="84">
        <f t="shared" si="25"/>
        <v>25134</v>
      </c>
      <c r="BH79" s="84">
        <f t="shared" si="25"/>
        <v>-3834</v>
      </c>
      <c r="BI79" s="84">
        <f t="shared" si="25"/>
        <v>48983</v>
      </c>
      <c r="BJ79" s="84">
        <f t="shared" si="25"/>
        <v>3230</v>
      </c>
      <c r="BK79" s="84">
        <f t="shared" si="25"/>
        <v>40006</v>
      </c>
      <c r="BL79" s="84">
        <f t="shared" si="25"/>
        <v>0</v>
      </c>
      <c r="BM79" s="84">
        <f t="shared" si="25"/>
        <v>0</v>
      </c>
      <c r="BN79" s="73">
        <f t="shared" si="20"/>
        <v>218597.42484334914</v>
      </c>
      <c r="BO79" s="73">
        <f t="shared" si="21"/>
        <v>1635490.7292258516</v>
      </c>
    </row>
    <row r="80" spans="1:67" x14ac:dyDescent="0.25">
      <c r="A80" s="84" t="s">
        <v>275</v>
      </c>
      <c r="B80" s="84">
        <f t="shared" ref="B80:AG80" si="26">B89-B71-B62-B53-B44-B35-B26-B17-B8</f>
        <v>5</v>
      </c>
      <c r="C80" s="84">
        <f t="shared" si="26"/>
        <v>5</v>
      </c>
      <c r="D80" s="84">
        <f t="shared" si="26"/>
        <v>0</v>
      </c>
      <c r="E80" s="84">
        <f t="shared" si="26"/>
        <v>0</v>
      </c>
      <c r="F80" s="84">
        <f t="shared" si="26"/>
        <v>13245194</v>
      </c>
      <c r="G80" s="84">
        <f t="shared" si="26"/>
        <v>56989580</v>
      </c>
      <c r="H80" s="84">
        <f t="shared" si="26"/>
        <v>2099053</v>
      </c>
      <c r="I80" s="84">
        <f t="shared" si="26"/>
        <v>26171522</v>
      </c>
      <c r="J80" s="84">
        <f t="shared" si="26"/>
        <v>681337</v>
      </c>
      <c r="K80" s="84">
        <f t="shared" si="26"/>
        <v>6829293</v>
      </c>
      <c r="L80" s="84">
        <f t="shared" si="26"/>
        <v>36000</v>
      </c>
      <c r="M80" s="84">
        <f t="shared" si="26"/>
        <v>82991</v>
      </c>
      <c r="N80" s="84">
        <f t="shared" si="26"/>
        <v>537826.35</v>
      </c>
      <c r="O80" s="84">
        <f t="shared" si="26"/>
        <v>1999587.7</v>
      </c>
      <c r="P80" s="84">
        <f t="shared" si="26"/>
        <v>134</v>
      </c>
      <c r="Q80" s="84">
        <f t="shared" si="26"/>
        <v>2271</v>
      </c>
      <c r="R80" s="84">
        <f t="shared" si="26"/>
        <v>2312383</v>
      </c>
      <c r="S80" s="84">
        <f t="shared" si="26"/>
        <v>9908225</v>
      </c>
      <c r="T80" s="84">
        <f t="shared" si="26"/>
        <v>31282</v>
      </c>
      <c r="U80" s="84">
        <f t="shared" ref="U80" si="27">U89-U71-U62-U53-U44-U35-U26-U17-U8</f>
        <v>533635</v>
      </c>
      <c r="V80" s="84">
        <f t="shared" si="26"/>
        <v>-6133095</v>
      </c>
      <c r="W80" s="84">
        <f t="shared" si="26"/>
        <v>-24164273</v>
      </c>
      <c r="X80" s="84">
        <f t="shared" si="26"/>
        <v>837151</v>
      </c>
      <c r="Y80" s="84">
        <f t="shared" si="26"/>
        <v>3988788</v>
      </c>
      <c r="Z80" s="84">
        <f t="shared" si="26"/>
        <v>1594577</v>
      </c>
      <c r="AA80" s="84">
        <f t="shared" si="26"/>
        <v>14127096</v>
      </c>
      <c r="AB80" s="84">
        <f t="shared" si="26"/>
        <v>13759</v>
      </c>
      <c r="AC80" s="84">
        <f t="shared" si="26"/>
        <v>52466</v>
      </c>
      <c r="AD80" s="84">
        <f t="shared" si="26"/>
        <v>80560</v>
      </c>
      <c r="AE80" s="84">
        <f t="shared" si="26"/>
        <v>461420</v>
      </c>
      <c r="AF80" s="84">
        <f t="shared" si="26"/>
        <v>-317835</v>
      </c>
      <c r="AG80" s="84">
        <f t="shared" si="26"/>
        <v>-580752</v>
      </c>
      <c r="AH80" s="84">
        <f t="shared" ref="AH80" si="28">AH89-AH71-AH62-AH53-AH44-AH35-AH26-AH17-AH8</f>
        <v>0</v>
      </c>
      <c r="AI80" s="84">
        <f t="shared" ref="AI80:BM80" si="29">AI89-AI71-AI62-AI53-AI44-AI35-AI26-AI17-AI8</f>
        <v>0</v>
      </c>
      <c r="AJ80" s="84">
        <f t="shared" si="29"/>
        <v>0</v>
      </c>
      <c r="AK80" s="84">
        <f t="shared" si="29"/>
        <v>0</v>
      </c>
      <c r="AL80" s="84">
        <f t="shared" si="29"/>
        <v>1952570.8591573131</v>
      </c>
      <c r="AM80" s="84">
        <f t="shared" si="29"/>
        <v>2864374.8996644607</v>
      </c>
      <c r="AN80" s="84">
        <f t="shared" si="29"/>
        <v>-2493</v>
      </c>
      <c r="AO80" s="84">
        <f t="shared" si="29"/>
        <v>-8149</v>
      </c>
      <c r="AP80" s="84">
        <f t="shared" si="29"/>
        <v>58539</v>
      </c>
      <c r="AQ80" s="84">
        <f t="shared" si="29"/>
        <v>220350</v>
      </c>
      <c r="AR80" s="84">
        <f t="shared" si="29"/>
        <v>4144532</v>
      </c>
      <c r="AS80" s="84">
        <f t="shared" si="29"/>
        <v>20141784</v>
      </c>
      <c r="AT80" s="84">
        <f t="shared" si="29"/>
        <v>0</v>
      </c>
      <c r="AU80" s="84">
        <f t="shared" si="29"/>
        <v>0</v>
      </c>
      <c r="AV80" s="84">
        <f t="shared" si="29"/>
        <v>-11694</v>
      </c>
      <c r="AW80" s="84">
        <f t="shared" si="29"/>
        <v>-52667</v>
      </c>
      <c r="AX80" s="84">
        <f t="shared" si="29"/>
        <v>6012566</v>
      </c>
      <c r="AY80" s="84">
        <f t="shared" si="29"/>
        <v>20107005</v>
      </c>
      <c r="AZ80" s="84">
        <f t="shared" si="29"/>
        <v>15180</v>
      </c>
      <c r="BA80" s="84">
        <f t="shared" si="29"/>
        <v>46370</v>
      </c>
      <c r="BB80" s="84">
        <f t="shared" si="29"/>
        <v>6413762</v>
      </c>
      <c r="BC80" s="84">
        <f t="shared" si="29"/>
        <v>22091117</v>
      </c>
      <c r="BD80" s="84">
        <f t="shared" si="29"/>
        <v>829572</v>
      </c>
      <c r="BE80" s="84">
        <f t="shared" si="29"/>
        <v>1508006</v>
      </c>
      <c r="BF80" s="84">
        <f t="shared" si="29"/>
        <v>1255732</v>
      </c>
      <c r="BG80" s="84">
        <f t="shared" si="29"/>
        <v>3557466</v>
      </c>
      <c r="BH80" s="84">
        <f t="shared" si="29"/>
        <v>136212</v>
      </c>
      <c r="BI80" s="84">
        <f t="shared" si="29"/>
        <v>1790648</v>
      </c>
      <c r="BJ80" s="84">
        <f t="shared" si="29"/>
        <v>557046</v>
      </c>
      <c r="BK80" s="84">
        <f t="shared" si="29"/>
        <v>2958137</v>
      </c>
      <c r="BL80" s="84">
        <f t="shared" si="29"/>
        <v>2376303</v>
      </c>
      <c r="BM80" s="84">
        <f t="shared" si="29"/>
        <v>11371261</v>
      </c>
      <c r="BN80" s="73">
        <f t="shared" si="20"/>
        <v>38756159.209157318</v>
      </c>
      <c r="BO80" s="73">
        <f t="shared" si="21"/>
        <v>182997557.59966445</v>
      </c>
    </row>
    <row r="81" spans="1:67" x14ac:dyDescent="0.25">
      <c r="A81" s="84" t="s">
        <v>229</v>
      </c>
      <c r="B81" s="84">
        <f t="shared" ref="B81:AG81" si="30">B90-B72-B63-B54-B45-B36-B27-B18-B9</f>
        <v>103</v>
      </c>
      <c r="C81" s="84">
        <f t="shared" si="30"/>
        <v>103</v>
      </c>
      <c r="D81" s="84">
        <f t="shared" si="30"/>
        <v>0</v>
      </c>
      <c r="E81" s="84">
        <f t="shared" si="30"/>
        <v>0</v>
      </c>
      <c r="F81" s="84">
        <f t="shared" si="30"/>
        <v>17660264</v>
      </c>
      <c r="G81" s="84">
        <f t="shared" si="30"/>
        <v>63536074</v>
      </c>
      <c r="H81" s="84">
        <f t="shared" si="30"/>
        <v>1135719</v>
      </c>
      <c r="I81" s="84">
        <f t="shared" si="30"/>
        <v>8236290</v>
      </c>
      <c r="J81" s="84">
        <f t="shared" si="30"/>
        <v>250811</v>
      </c>
      <c r="K81" s="84">
        <f t="shared" si="30"/>
        <v>1725370</v>
      </c>
      <c r="L81" s="84">
        <f t="shared" si="30"/>
        <v>92351</v>
      </c>
      <c r="M81" s="84">
        <f t="shared" si="30"/>
        <v>301455</v>
      </c>
      <c r="N81" s="84">
        <f t="shared" si="30"/>
        <v>2920639.43</v>
      </c>
      <c r="O81" s="84">
        <f t="shared" si="30"/>
        <v>8623231.9100000001</v>
      </c>
      <c r="P81" s="84">
        <f t="shared" si="30"/>
        <v>3</v>
      </c>
      <c r="Q81" s="84">
        <f t="shared" si="30"/>
        <v>530</v>
      </c>
      <c r="R81" s="84">
        <f t="shared" si="30"/>
        <v>998033</v>
      </c>
      <c r="S81" s="84">
        <f t="shared" si="30"/>
        <v>3819648</v>
      </c>
      <c r="T81" s="84">
        <f t="shared" si="30"/>
        <v>199386</v>
      </c>
      <c r="U81" s="84">
        <f t="shared" ref="U81" si="31">U90-U72-U63-U54-U45-U36-U27-U18-U9</f>
        <v>1006090</v>
      </c>
      <c r="V81" s="84">
        <f t="shared" si="30"/>
        <v>1730974</v>
      </c>
      <c r="W81" s="84">
        <f t="shared" si="30"/>
        <v>6949857</v>
      </c>
      <c r="X81" s="84">
        <f t="shared" si="30"/>
        <v>967617</v>
      </c>
      <c r="Y81" s="84">
        <f t="shared" si="30"/>
        <v>3892115</v>
      </c>
      <c r="Z81" s="84">
        <f t="shared" si="30"/>
        <v>782008</v>
      </c>
      <c r="AA81" s="84">
        <f t="shared" si="30"/>
        <v>4969859</v>
      </c>
      <c r="AB81" s="84">
        <f t="shared" si="30"/>
        <v>20321</v>
      </c>
      <c r="AC81" s="84">
        <f t="shared" si="30"/>
        <v>80040</v>
      </c>
      <c r="AD81" s="84">
        <f t="shared" si="30"/>
        <v>99520</v>
      </c>
      <c r="AE81" s="84">
        <f t="shared" si="30"/>
        <v>277388</v>
      </c>
      <c r="AF81" s="84">
        <f t="shared" si="30"/>
        <v>15162</v>
      </c>
      <c r="AG81" s="84">
        <f t="shared" si="30"/>
        <v>32479</v>
      </c>
      <c r="AH81" s="84">
        <f t="shared" ref="AH81" si="32">AH90-AH72-AH63-AH54-AH45-AH36-AH27-AH18-AH9</f>
        <v>0</v>
      </c>
      <c r="AI81" s="84">
        <f t="shared" ref="AI81:BM81" si="33">AI90-AI72-AI63-AI54-AI45-AI36-AI27-AI18-AI9</f>
        <v>0</v>
      </c>
      <c r="AJ81" s="84">
        <f t="shared" si="33"/>
        <v>0</v>
      </c>
      <c r="AK81" s="84">
        <f t="shared" si="33"/>
        <v>0</v>
      </c>
      <c r="AL81" s="84">
        <f t="shared" si="33"/>
        <v>4621602.9823143082</v>
      </c>
      <c r="AM81" s="84">
        <f t="shared" si="33"/>
        <v>14125550.786077205</v>
      </c>
      <c r="AN81" s="84">
        <f t="shared" si="33"/>
        <v>10140</v>
      </c>
      <c r="AO81" s="84">
        <f t="shared" si="33"/>
        <v>52665</v>
      </c>
      <c r="AP81" s="84">
        <f t="shared" si="33"/>
        <v>180901</v>
      </c>
      <c r="AQ81" s="84">
        <f t="shared" si="33"/>
        <v>512490</v>
      </c>
      <c r="AR81" s="84">
        <f t="shared" si="33"/>
        <v>1272174</v>
      </c>
      <c r="AS81" s="84">
        <f t="shared" si="33"/>
        <v>6114888</v>
      </c>
      <c r="AT81" s="84">
        <f t="shared" si="33"/>
        <v>0</v>
      </c>
      <c r="AU81" s="84">
        <f t="shared" si="33"/>
        <v>0</v>
      </c>
      <c r="AV81" s="84">
        <f t="shared" si="33"/>
        <v>56634</v>
      </c>
      <c r="AW81" s="84">
        <f t="shared" si="33"/>
        <v>669811</v>
      </c>
      <c r="AX81" s="84">
        <f t="shared" si="33"/>
        <v>2173098</v>
      </c>
      <c r="AY81" s="84">
        <f t="shared" si="33"/>
        <v>4706299</v>
      </c>
      <c r="AZ81" s="84">
        <f t="shared" si="33"/>
        <v>33931</v>
      </c>
      <c r="BA81" s="84">
        <f t="shared" si="33"/>
        <v>118321</v>
      </c>
      <c r="BB81" s="84">
        <f t="shared" si="33"/>
        <v>26204423</v>
      </c>
      <c r="BC81" s="84">
        <f t="shared" si="33"/>
        <v>71794270</v>
      </c>
      <c r="BD81" s="84">
        <f t="shared" si="33"/>
        <v>-324719</v>
      </c>
      <c r="BE81" s="84">
        <f t="shared" si="33"/>
        <v>774386</v>
      </c>
      <c r="BF81" s="84">
        <f t="shared" si="33"/>
        <v>5560500</v>
      </c>
      <c r="BG81" s="84">
        <f t="shared" si="33"/>
        <v>19798793</v>
      </c>
      <c r="BH81" s="84">
        <f t="shared" si="33"/>
        <v>3231360</v>
      </c>
      <c r="BI81" s="84">
        <f t="shared" si="33"/>
        <v>11003829</v>
      </c>
      <c r="BJ81" s="84">
        <f t="shared" si="33"/>
        <v>3257174</v>
      </c>
      <c r="BK81" s="84">
        <f t="shared" si="33"/>
        <v>11291883</v>
      </c>
      <c r="BL81" s="84">
        <f t="shared" si="33"/>
        <v>451443</v>
      </c>
      <c r="BM81" s="84">
        <f t="shared" si="33"/>
        <v>2842448</v>
      </c>
      <c r="BN81" s="73">
        <f t="shared" si="20"/>
        <v>73601573.412314311</v>
      </c>
      <c r="BO81" s="73">
        <f t="shared" si="21"/>
        <v>247256163.6960772</v>
      </c>
    </row>
    <row r="82" spans="1:67" x14ac:dyDescent="0.25">
      <c r="A82" s="84" t="s">
        <v>230</v>
      </c>
      <c r="B82" s="84">
        <f t="shared" ref="B82:AG82" si="34">B91-B73-B64-B55-B46-B37-B28-B19-B10</f>
        <v>66</v>
      </c>
      <c r="C82" s="84">
        <f t="shared" si="34"/>
        <v>66</v>
      </c>
      <c r="D82" s="84">
        <f t="shared" si="34"/>
        <v>0</v>
      </c>
      <c r="E82" s="84">
        <f t="shared" si="34"/>
        <v>0</v>
      </c>
      <c r="F82" s="84">
        <f t="shared" si="34"/>
        <v>14098614</v>
      </c>
      <c r="G82" s="84">
        <f t="shared" si="34"/>
        <v>68164290</v>
      </c>
      <c r="H82" s="84">
        <f t="shared" si="34"/>
        <v>1783698</v>
      </c>
      <c r="I82" s="84">
        <f t="shared" si="34"/>
        <v>8308385</v>
      </c>
      <c r="J82" s="84">
        <f t="shared" si="34"/>
        <v>174305</v>
      </c>
      <c r="K82" s="84">
        <f t="shared" si="34"/>
        <v>1633560</v>
      </c>
      <c r="L82" s="84">
        <f t="shared" si="34"/>
        <v>88539</v>
      </c>
      <c r="M82" s="84">
        <f t="shared" si="34"/>
        <v>349112</v>
      </c>
      <c r="N82" s="84">
        <f t="shared" si="34"/>
        <v>2489204.98</v>
      </c>
      <c r="O82" s="84">
        <f t="shared" si="34"/>
        <v>8273063.5700000003</v>
      </c>
      <c r="P82" s="84">
        <f t="shared" si="34"/>
        <v>161</v>
      </c>
      <c r="Q82" s="84">
        <f t="shared" si="34"/>
        <v>367</v>
      </c>
      <c r="R82" s="84">
        <f t="shared" si="34"/>
        <v>945466</v>
      </c>
      <c r="S82" s="84">
        <f t="shared" si="34"/>
        <v>3715887</v>
      </c>
      <c r="T82" s="84">
        <f t="shared" si="34"/>
        <v>251662</v>
      </c>
      <c r="U82" s="84">
        <f t="shared" ref="U82" si="35">U91-U73-U64-U55-U46-U37-U28-U19-U10</f>
        <v>903666</v>
      </c>
      <c r="V82" s="84">
        <f t="shared" si="34"/>
        <v>1537850</v>
      </c>
      <c r="W82" s="84">
        <f t="shared" si="34"/>
        <v>6525133</v>
      </c>
      <c r="X82" s="84">
        <f t="shared" si="34"/>
        <v>1002490</v>
      </c>
      <c r="Y82" s="84">
        <f t="shared" si="34"/>
        <v>3863013</v>
      </c>
      <c r="Z82" s="84">
        <f t="shared" si="34"/>
        <v>1171932</v>
      </c>
      <c r="AA82" s="84">
        <f t="shared" si="34"/>
        <v>4777756</v>
      </c>
      <c r="AB82" s="84">
        <f t="shared" si="34"/>
        <v>13179</v>
      </c>
      <c r="AC82" s="84">
        <f t="shared" si="34"/>
        <v>44532</v>
      </c>
      <c r="AD82" s="84">
        <f t="shared" si="34"/>
        <v>60191</v>
      </c>
      <c r="AE82" s="84">
        <f t="shared" si="34"/>
        <v>287027</v>
      </c>
      <c r="AF82" s="84">
        <f t="shared" si="34"/>
        <v>6996</v>
      </c>
      <c r="AG82" s="84">
        <f t="shared" si="34"/>
        <v>26987</v>
      </c>
      <c r="AH82" s="84">
        <f t="shared" ref="AH82" si="36">AH91-AH73-AH64-AH55-AH46-AH37-AH28-AH19-AH10</f>
        <v>0</v>
      </c>
      <c r="AI82" s="84">
        <f t="shared" ref="AI82:BM82" si="37">AI91-AI73-AI64-AI55-AI46-AI37-AI28-AI19-AI10</f>
        <v>0</v>
      </c>
      <c r="AJ82" s="84">
        <f t="shared" si="37"/>
        <v>0</v>
      </c>
      <c r="AK82" s="84">
        <f t="shared" si="37"/>
        <v>0</v>
      </c>
      <c r="AL82" s="84">
        <f t="shared" si="37"/>
        <v>2612799.3660893096</v>
      </c>
      <c r="AM82" s="84">
        <f t="shared" si="37"/>
        <v>12884966.383614102</v>
      </c>
      <c r="AN82" s="84">
        <f t="shared" si="37"/>
        <v>15794</v>
      </c>
      <c r="AO82" s="84">
        <f t="shared" si="37"/>
        <v>36959</v>
      </c>
      <c r="AP82" s="84">
        <f t="shared" si="37"/>
        <v>113158</v>
      </c>
      <c r="AQ82" s="84">
        <f t="shared" si="37"/>
        <v>397470</v>
      </c>
      <c r="AR82" s="84">
        <f t="shared" si="37"/>
        <v>1267103</v>
      </c>
      <c r="AS82" s="84">
        <f t="shared" si="37"/>
        <v>6087389</v>
      </c>
      <c r="AT82" s="84">
        <f t="shared" si="37"/>
        <v>0</v>
      </c>
      <c r="AU82" s="84">
        <f t="shared" si="37"/>
        <v>0</v>
      </c>
      <c r="AV82" s="84">
        <f t="shared" si="37"/>
        <v>57819</v>
      </c>
      <c r="AW82" s="84">
        <f t="shared" si="37"/>
        <v>674113</v>
      </c>
      <c r="AX82" s="84">
        <f t="shared" si="37"/>
        <v>1776102</v>
      </c>
      <c r="AY82" s="84">
        <f t="shared" si="37"/>
        <v>4642499</v>
      </c>
      <c r="AZ82" s="84">
        <f t="shared" si="37"/>
        <v>31249</v>
      </c>
      <c r="BA82" s="84">
        <f t="shared" si="37"/>
        <v>122409</v>
      </c>
      <c r="BB82" s="84">
        <f t="shared" si="37"/>
        <v>6638162</v>
      </c>
      <c r="BC82" s="84">
        <f t="shared" si="37"/>
        <v>46266309</v>
      </c>
      <c r="BD82" s="84">
        <f t="shared" si="37"/>
        <v>-368952</v>
      </c>
      <c r="BE82" s="84">
        <f t="shared" si="37"/>
        <v>630685</v>
      </c>
      <c r="BF82" s="84">
        <f t="shared" si="37"/>
        <v>5352787</v>
      </c>
      <c r="BG82" s="84">
        <f t="shared" si="37"/>
        <v>19347614</v>
      </c>
      <c r="BH82" s="84">
        <f t="shared" si="37"/>
        <v>1970407</v>
      </c>
      <c r="BI82" s="84">
        <f t="shared" si="37"/>
        <v>10349965</v>
      </c>
      <c r="BJ82" s="84">
        <f t="shared" si="37"/>
        <v>2849149</v>
      </c>
      <c r="BK82" s="84">
        <f t="shared" si="37"/>
        <v>9783584</v>
      </c>
      <c r="BL82" s="84">
        <f t="shared" si="37"/>
        <v>493468</v>
      </c>
      <c r="BM82" s="84">
        <f t="shared" si="37"/>
        <v>2723000</v>
      </c>
      <c r="BN82" s="73">
        <f t="shared" si="20"/>
        <v>46433399.346089311</v>
      </c>
      <c r="BO82" s="73">
        <f t="shared" si="21"/>
        <v>220819806.95361412</v>
      </c>
    </row>
    <row r="84" spans="1:67" x14ac:dyDescent="0.25">
      <c r="A84" s="24" t="s">
        <v>42</v>
      </c>
    </row>
    <row r="85" spans="1:67" x14ac:dyDescent="0.25">
      <c r="A85" s="1" t="s">
        <v>0</v>
      </c>
      <c r="B85" s="119" t="s">
        <v>1</v>
      </c>
      <c r="C85" s="120"/>
      <c r="D85" s="119" t="s">
        <v>282</v>
      </c>
      <c r="E85" s="120"/>
      <c r="F85" s="119" t="s">
        <v>2</v>
      </c>
      <c r="G85" s="120"/>
      <c r="H85" s="119" t="s">
        <v>3</v>
      </c>
      <c r="I85" s="120"/>
      <c r="J85" s="119" t="s">
        <v>4</v>
      </c>
      <c r="K85" s="120"/>
      <c r="L85" s="119" t="s">
        <v>283</v>
      </c>
      <c r="M85" s="120"/>
      <c r="N85" s="119" t="s">
        <v>6</v>
      </c>
      <c r="O85" s="120"/>
      <c r="P85" s="119" t="s">
        <v>5</v>
      </c>
      <c r="Q85" s="120"/>
      <c r="R85" s="119" t="s">
        <v>7</v>
      </c>
      <c r="S85" s="120"/>
      <c r="T85" s="119" t="s">
        <v>284</v>
      </c>
      <c r="U85" s="120"/>
      <c r="V85" s="119" t="s">
        <v>8</v>
      </c>
      <c r="W85" s="120"/>
      <c r="X85" s="119" t="s">
        <v>9</v>
      </c>
      <c r="Y85" s="120"/>
      <c r="Z85" s="119" t="s">
        <v>10</v>
      </c>
      <c r="AA85" s="120"/>
      <c r="AB85" s="119" t="s">
        <v>293</v>
      </c>
      <c r="AC85" s="120"/>
      <c r="AD85" s="119" t="s">
        <v>11</v>
      </c>
      <c r="AE85" s="120"/>
      <c r="AF85" s="119" t="s">
        <v>12</v>
      </c>
      <c r="AG85" s="120"/>
      <c r="AH85" s="119" t="s">
        <v>285</v>
      </c>
      <c r="AI85" s="120"/>
      <c r="AJ85" s="119" t="s">
        <v>290</v>
      </c>
      <c r="AK85" s="120"/>
      <c r="AL85" s="119" t="s">
        <v>13</v>
      </c>
      <c r="AM85" s="120"/>
      <c r="AN85" s="119" t="s">
        <v>286</v>
      </c>
      <c r="AO85" s="120"/>
      <c r="AP85" s="119" t="s">
        <v>287</v>
      </c>
      <c r="AQ85" s="120"/>
      <c r="AR85" s="119" t="s">
        <v>291</v>
      </c>
      <c r="AS85" s="120"/>
      <c r="AT85" s="119" t="s">
        <v>294</v>
      </c>
      <c r="AU85" s="120"/>
      <c r="AV85" s="119" t="s">
        <v>14</v>
      </c>
      <c r="AW85" s="120"/>
      <c r="AX85" s="119" t="s">
        <v>15</v>
      </c>
      <c r="AY85" s="120"/>
      <c r="AZ85" s="119" t="s">
        <v>16</v>
      </c>
      <c r="BA85" s="120"/>
      <c r="BB85" s="119" t="s">
        <v>17</v>
      </c>
      <c r="BC85" s="120"/>
      <c r="BD85" s="119" t="s">
        <v>18</v>
      </c>
      <c r="BE85" s="120"/>
      <c r="BF85" s="119" t="s">
        <v>288</v>
      </c>
      <c r="BG85" s="120"/>
      <c r="BH85" s="119" t="s">
        <v>289</v>
      </c>
      <c r="BI85" s="120"/>
      <c r="BJ85" s="119" t="s">
        <v>19</v>
      </c>
      <c r="BK85" s="120"/>
      <c r="BL85" s="119" t="s">
        <v>20</v>
      </c>
      <c r="BM85" s="120"/>
      <c r="BN85" s="121" t="s">
        <v>21</v>
      </c>
      <c r="BO85" s="122"/>
    </row>
    <row r="86" spans="1:67" ht="30" x14ac:dyDescent="0.25">
      <c r="A86" s="1"/>
      <c r="B86" s="57" t="s">
        <v>296</v>
      </c>
      <c r="C86" s="58" t="s">
        <v>297</v>
      </c>
      <c r="D86" s="57" t="s">
        <v>296</v>
      </c>
      <c r="E86" s="58" t="s">
        <v>297</v>
      </c>
      <c r="F86" s="57" t="s">
        <v>296</v>
      </c>
      <c r="G86" s="58" t="s">
        <v>297</v>
      </c>
      <c r="H86" s="57" t="s">
        <v>296</v>
      </c>
      <c r="I86" s="58" t="s">
        <v>297</v>
      </c>
      <c r="J86" s="57" t="s">
        <v>296</v>
      </c>
      <c r="K86" s="58" t="s">
        <v>297</v>
      </c>
      <c r="L86" s="57" t="s">
        <v>296</v>
      </c>
      <c r="M86" s="58" t="s">
        <v>297</v>
      </c>
      <c r="N86" s="57" t="s">
        <v>296</v>
      </c>
      <c r="O86" s="58" t="s">
        <v>297</v>
      </c>
      <c r="P86" s="57" t="s">
        <v>296</v>
      </c>
      <c r="Q86" s="58" t="s">
        <v>297</v>
      </c>
      <c r="R86" s="57" t="s">
        <v>296</v>
      </c>
      <c r="S86" s="58" t="s">
        <v>297</v>
      </c>
      <c r="T86" s="57" t="s">
        <v>296</v>
      </c>
      <c r="U86" s="58" t="s">
        <v>297</v>
      </c>
      <c r="V86" s="57" t="s">
        <v>296</v>
      </c>
      <c r="W86" s="58" t="s">
        <v>297</v>
      </c>
      <c r="X86" s="57" t="s">
        <v>296</v>
      </c>
      <c r="Y86" s="58" t="s">
        <v>297</v>
      </c>
      <c r="Z86" s="57" t="s">
        <v>296</v>
      </c>
      <c r="AA86" s="58" t="s">
        <v>297</v>
      </c>
      <c r="AB86" s="57" t="s">
        <v>296</v>
      </c>
      <c r="AC86" s="58" t="s">
        <v>297</v>
      </c>
      <c r="AD86" s="57" t="s">
        <v>296</v>
      </c>
      <c r="AE86" s="58" t="s">
        <v>297</v>
      </c>
      <c r="AF86" s="57" t="s">
        <v>296</v>
      </c>
      <c r="AG86" s="58" t="s">
        <v>297</v>
      </c>
      <c r="AH86" s="57" t="s">
        <v>296</v>
      </c>
      <c r="AI86" s="58" t="s">
        <v>297</v>
      </c>
      <c r="AJ86" s="57" t="s">
        <v>296</v>
      </c>
      <c r="AK86" s="58" t="s">
        <v>297</v>
      </c>
      <c r="AL86" s="57" t="s">
        <v>296</v>
      </c>
      <c r="AM86" s="58" t="s">
        <v>297</v>
      </c>
      <c r="AN86" s="57" t="s">
        <v>296</v>
      </c>
      <c r="AO86" s="58" t="s">
        <v>297</v>
      </c>
      <c r="AP86" s="57" t="s">
        <v>296</v>
      </c>
      <c r="AQ86" s="58" t="s">
        <v>297</v>
      </c>
      <c r="AR86" s="57" t="s">
        <v>296</v>
      </c>
      <c r="AS86" s="58" t="s">
        <v>297</v>
      </c>
      <c r="AT86" s="57" t="s">
        <v>296</v>
      </c>
      <c r="AU86" s="58" t="s">
        <v>297</v>
      </c>
      <c r="AV86" s="57" t="s">
        <v>296</v>
      </c>
      <c r="AW86" s="58" t="s">
        <v>297</v>
      </c>
      <c r="AX86" s="57" t="s">
        <v>296</v>
      </c>
      <c r="AY86" s="58" t="s">
        <v>297</v>
      </c>
      <c r="AZ86" s="57" t="s">
        <v>296</v>
      </c>
      <c r="BA86" s="58" t="s">
        <v>297</v>
      </c>
      <c r="BB86" s="57" t="s">
        <v>296</v>
      </c>
      <c r="BC86" s="58" t="s">
        <v>297</v>
      </c>
      <c r="BD86" s="57" t="s">
        <v>296</v>
      </c>
      <c r="BE86" s="58" t="s">
        <v>297</v>
      </c>
      <c r="BF86" s="57" t="s">
        <v>296</v>
      </c>
      <c r="BG86" s="58" t="s">
        <v>297</v>
      </c>
      <c r="BH86" s="57" t="s">
        <v>296</v>
      </c>
      <c r="BI86" s="58" t="s">
        <v>297</v>
      </c>
      <c r="BJ86" s="57" t="s">
        <v>296</v>
      </c>
      <c r="BK86" s="58" t="s">
        <v>297</v>
      </c>
      <c r="BL86" s="57" t="s">
        <v>296</v>
      </c>
      <c r="BM86" s="58" t="s">
        <v>297</v>
      </c>
      <c r="BN86" s="57" t="s">
        <v>296</v>
      </c>
      <c r="BO86" s="58" t="s">
        <v>297</v>
      </c>
    </row>
    <row r="87" spans="1:67" x14ac:dyDescent="0.25">
      <c r="A87" s="84" t="s">
        <v>271</v>
      </c>
      <c r="B87" s="84">
        <v>1451051</v>
      </c>
      <c r="C87" s="84">
        <v>4223865</v>
      </c>
      <c r="D87" s="84">
        <v>4413137</v>
      </c>
      <c r="E87" s="84">
        <v>13006376</v>
      </c>
      <c r="F87" s="103">
        <v>30905459</v>
      </c>
      <c r="G87" s="103">
        <v>120525744</v>
      </c>
      <c r="H87" s="84">
        <v>27756835</v>
      </c>
      <c r="I87" s="84">
        <v>125695290</v>
      </c>
      <c r="J87" s="84">
        <v>7305486</v>
      </c>
      <c r="K87" s="84">
        <v>31599043</v>
      </c>
      <c r="L87" s="84">
        <v>12702000</v>
      </c>
      <c r="M87" s="84">
        <v>43882083</v>
      </c>
      <c r="N87" s="103">
        <v>3458465.78</v>
      </c>
      <c r="O87" s="103">
        <v>10622819.609999999</v>
      </c>
      <c r="P87" s="84">
        <v>648120</v>
      </c>
      <c r="Q87" s="84">
        <v>2185740</v>
      </c>
      <c r="R87" s="84">
        <v>10799911</v>
      </c>
      <c r="S87" s="84">
        <v>38352342</v>
      </c>
      <c r="T87" s="84">
        <v>7643862</v>
      </c>
      <c r="U87" s="84">
        <v>24176194</v>
      </c>
      <c r="V87" s="84">
        <v>35494090</v>
      </c>
      <c r="W87" s="84">
        <v>122951027</v>
      </c>
      <c r="X87" s="84">
        <v>34780208</v>
      </c>
      <c r="Y87" s="84">
        <v>140030912</v>
      </c>
      <c r="Z87" s="84">
        <v>19709364</v>
      </c>
      <c r="AA87" s="84">
        <v>84108834</v>
      </c>
      <c r="AB87" s="84">
        <v>1616828</v>
      </c>
      <c r="AC87" s="84">
        <v>5439923</v>
      </c>
      <c r="AD87" s="84">
        <v>3996581</v>
      </c>
      <c r="AE87" s="84">
        <v>14457116</v>
      </c>
      <c r="AF87" s="84">
        <v>4317400</v>
      </c>
      <c r="AG87" s="84">
        <v>12835925</v>
      </c>
      <c r="AH87" s="103">
        <v>2271598</v>
      </c>
      <c r="AI87" s="103">
        <v>7554912</v>
      </c>
      <c r="AJ87" s="84">
        <v>6005145</v>
      </c>
      <c r="AK87" s="84">
        <v>17507779</v>
      </c>
      <c r="AL87" s="84">
        <v>36372476.551299557</v>
      </c>
      <c r="AM87" s="84">
        <v>141857487.64581269</v>
      </c>
      <c r="AN87" s="84">
        <v>320140</v>
      </c>
      <c r="AO87" s="84">
        <v>1043997</v>
      </c>
      <c r="AP87" s="84">
        <v>921253</v>
      </c>
      <c r="AQ87" s="84">
        <v>2722152</v>
      </c>
      <c r="AR87" s="84">
        <v>20080449</v>
      </c>
      <c r="AS87" s="84">
        <v>83102800</v>
      </c>
      <c r="AT87" s="84">
        <v>8042515</v>
      </c>
      <c r="AU87" s="84">
        <v>25597537</v>
      </c>
      <c r="AV87" s="84">
        <v>7919954</v>
      </c>
      <c r="AW87" s="84">
        <v>28222833</v>
      </c>
      <c r="AX87" s="84">
        <v>29847278</v>
      </c>
      <c r="AY87" s="84">
        <v>82648575</v>
      </c>
      <c r="AZ87" s="84">
        <v>5805584</v>
      </c>
      <c r="BA87" s="84">
        <v>21388776</v>
      </c>
      <c r="BB87" s="84">
        <v>32618185</v>
      </c>
      <c r="BC87" s="84">
        <v>93885387</v>
      </c>
      <c r="BD87" s="103">
        <v>20110258</v>
      </c>
      <c r="BE87" s="103">
        <v>80420625</v>
      </c>
      <c r="BF87" s="84">
        <v>86431792</v>
      </c>
      <c r="BG87" s="84">
        <v>315734242</v>
      </c>
      <c r="BH87" s="103">
        <v>33226632</v>
      </c>
      <c r="BI87" s="103">
        <v>127474202</v>
      </c>
      <c r="BJ87" s="103">
        <v>48114845</v>
      </c>
      <c r="BK87" s="103">
        <v>167046960</v>
      </c>
      <c r="BL87" s="103">
        <v>8719242</v>
      </c>
      <c r="BM87" s="103">
        <v>30521612</v>
      </c>
      <c r="BN87" s="73">
        <f>SUM(B87+D87+F87+H87+J87+L87+N87+P87+R87+T87+V87+X87+Z87+AB87+AD87+AF87+AH87+AJ87+AL87+AN87+AP87+AR87+AT87+AV87+AX87+AZ87+BB87+BD87+BF87+BH87+BJ87+BL87)</f>
        <v>553806144.33129954</v>
      </c>
      <c r="BO87" s="73">
        <f>SUM(C87+E87+G87+I87+K87+M87+O87+Q87+S87+U87+W87+Y87+AA87+AC87+AE87+AG87+AI87+AK87+AM87+AO87+AQ87+AS87+AU87+AW87+AY87+BA87+BC87+BE87+BG87+BI87+BK87+BM87)</f>
        <v>2020823110.2558126</v>
      </c>
    </row>
    <row r="88" spans="1:67" x14ac:dyDescent="0.25">
      <c r="A88" s="84" t="s">
        <v>274</v>
      </c>
      <c r="B88" s="84"/>
      <c r="C88" s="84"/>
      <c r="D88" s="84"/>
      <c r="E88" s="84"/>
      <c r="F88" s="103">
        <v>-1</v>
      </c>
      <c r="G88" s="103">
        <v>-90</v>
      </c>
      <c r="H88" s="84">
        <v>117371</v>
      </c>
      <c r="I88" s="84">
        <v>548498</v>
      </c>
      <c r="J88" s="84">
        <v>33350</v>
      </c>
      <c r="K88" s="84">
        <v>234516</v>
      </c>
      <c r="L88" s="84">
        <v>18000</v>
      </c>
      <c r="M88" s="84">
        <v>120551</v>
      </c>
      <c r="N88" s="84"/>
      <c r="O88" s="84"/>
      <c r="P88" s="84">
        <v>20463</v>
      </c>
      <c r="Q88" s="84">
        <v>78720</v>
      </c>
      <c r="R88" s="84">
        <v>51251</v>
      </c>
      <c r="S88" s="84">
        <v>636752</v>
      </c>
      <c r="T88" s="84">
        <v>2576337</v>
      </c>
      <c r="U88" s="84">
        <v>8257684</v>
      </c>
      <c r="V88" s="84">
        <v>243087</v>
      </c>
      <c r="W88" s="84">
        <v>1488311</v>
      </c>
      <c r="X88" s="84">
        <v>818500</v>
      </c>
      <c r="Y88" s="84">
        <v>3172360</v>
      </c>
      <c r="Z88" s="84">
        <v>75591</v>
      </c>
      <c r="AA88" s="84">
        <v>1135133</v>
      </c>
      <c r="AB88" s="84">
        <v>18510</v>
      </c>
      <c r="AC88" s="84">
        <v>42924</v>
      </c>
      <c r="AD88" s="84">
        <v>46973</v>
      </c>
      <c r="AE88" s="84">
        <v>157866</v>
      </c>
      <c r="AF88" s="84">
        <v>60623</v>
      </c>
      <c r="AG88" s="84">
        <v>654481</v>
      </c>
      <c r="AH88" s="103"/>
      <c r="AI88" s="103"/>
      <c r="AJ88" s="84"/>
      <c r="AK88" s="84"/>
      <c r="AL88" s="84">
        <v>1888287.8364124342</v>
      </c>
      <c r="AM88" s="84">
        <v>3368025.5170333227</v>
      </c>
      <c r="AN88" s="84">
        <v>1027</v>
      </c>
      <c r="AO88" s="84">
        <v>5166</v>
      </c>
      <c r="AP88" s="84">
        <v>115184</v>
      </c>
      <c r="AQ88" s="84">
        <v>239401</v>
      </c>
      <c r="AR88" s="84">
        <v>183638</v>
      </c>
      <c r="AS88" s="84">
        <v>951235</v>
      </c>
      <c r="AT88" s="84">
        <v>62437</v>
      </c>
      <c r="AU88" s="84">
        <v>282682</v>
      </c>
      <c r="AV88" s="84">
        <v>98088</v>
      </c>
      <c r="AW88" s="84">
        <v>606500</v>
      </c>
      <c r="AX88" s="84">
        <v>39251</v>
      </c>
      <c r="AY88" s="84">
        <v>467454</v>
      </c>
      <c r="AZ88" s="84">
        <v>8120</v>
      </c>
      <c r="BA88" s="84">
        <v>56124</v>
      </c>
      <c r="BB88" s="84"/>
      <c r="BC88" s="84"/>
      <c r="BD88" s="103">
        <v>3706228</v>
      </c>
      <c r="BE88" s="103">
        <v>5320772</v>
      </c>
      <c r="BF88" s="84">
        <v>4268906</v>
      </c>
      <c r="BG88" s="84">
        <v>14729830</v>
      </c>
      <c r="BH88" s="103">
        <v>1630708</v>
      </c>
      <c r="BI88" s="103">
        <v>4191895</v>
      </c>
      <c r="BJ88" s="103">
        <v>336413</v>
      </c>
      <c r="BK88" s="103">
        <v>1574695</v>
      </c>
      <c r="BL88" s="103">
        <v>5136</v>
      </c>
      <c r="BM88" s="103">
        <v>32929</v>
      </c>
      <c r="BN88" s="73">
        <f t="shared" ref="BN88:BN91" si="38">SUM(B88+D88+F88+H88+J88+L88+N88+P88+R88+T88+V88+X88+Z88+AB88+AD88+AF88+AH88+AJ88+AL88+AN88+AP88+AR88+AT88+AV88+AX88+AZ88+BB88+BD88+BF88+BH88+BJ88+BL88)</f>
        <v>16423478.836412434</v>
      </c>
      <c r="BO88" s="73">
        <f t="shared" ref="BO88:BO91" si="39">SUM(C88+E88+G88+I88+K88+M88+O88+Q88+S88+U88+W88+Y88+AA88+AC88+AE88+AG88+AI88+AK88+AM88+AO88+AQ88+AS88+AU88+AW88+AY88+BA88+BC88+BE88+BG88+BI88+BK88+BM88)</f>
        <v>48354414.517033324</v>
      </c>
    </row>
    <row r="89" spans="1:67" x14ac:dyDescent="0.25">
      <c r="A89" s="84" t="s">
        <v>275</v>
      </c>
      <c r="B89" s="84">
        <v>625747</v>
      </c>
      <c r="C89" s="84">
        <v>2029365</v>
      </c>
      <c r="D89" s="84">
        <v>931391</v>
      </c>
      <c r="E89" s="84">
        <v>3013586</v>
      </c>
      <c r="F89" s="103">
        <v>13245194</v>
      </c>
      <c r="G89" s="103">
        <v>56989580</v>
      </c>
      <c r="H89" s="84">
        <v>8239428</v>
      </c>
      <c r="I89" s="84">
        <v>52071239</v>
      </c>
      <c r="J89" s="84">
        <v>2184944</v>
      </c>
      <c r="K89" s="84">
        <v>12378693</v>
      </c>
      <c r="L89" s="84">
        <v>2948298</v>
      </c>
      <c r="M89" s="84">
        <v>10426781</v>
      </c>
      <c r="N89" s="103">
        <v>537826.35</v>
      </c>
      <c r="O89" s="103">
        <v>1999587.7</v>
      </c>
      <c r="P89" s="84">
        <v>168867</v>
      </c>
      <c r="Q89" s="84">
        <v>422218</v>
      </c>
      <c r="R89" s="84">
        <v>3808042</v>
      </c>
      <c r="S89" s="84">
        <v>16116096</v>
      </c>
      <c r="T89" s="84">
        <v>1079121</v>
      </c>
      <c r="U89" s="84">
        <v>6110829</v>
      </c>
      <c r="V89" s="84">
        <v>-15990392</v>
      </c>
      <c r="W89" s="84">
        <v>-59396480</v>
      </c>
      <c r="X89" s="84">
        <v>7950816</v>
      </c>
      <c r="Y89" s="84">
        <v>36353492</v>
      </c>
      <c r="Z89" s="84">
        <v>5629833</v>
      </c>
      <c r="AA89" s="84">
        <v>32375166</v>
      </c>
      <c r="AB89" s="84">
        <v>226607</v>
      </c>
      <c r="AC89" s="84">
        <v>705957</v>
      </c>
      <c r="AD89" s="84">
        <v>569409</v>
      </c>
      <c r="AE89" s="84">
        <v>2430492</v>
      </c>
      <c r="AF89" s="84">
        <v>-2007431</v>
      </c>
      <c r="AG89" s="84">
        <v>-5507930</v>
      </c>
      <c r="AH89" s="103">
        <v>118573</v>
      </c>
      <c r="AI89" s="103">
        <v>392968</v>
      </c>
      <c r="AJ89" s="84">
        <v>1394316</v>
      </c>
      <c r="AK89" s="84">
        <v>4022530</v>
      </c>
      <c r="AL89" s="84">
        <v>5211355.3871707646</v>
      </c>
      <c r="AM89" s="84">
        <v>18790646.932642721</v>
      </c>
      <c r="AN89" s="84">
        <v>-51604</v>
      </c>
      <c r="AO89" s="84">
        <v>-161113</v>
      </c>
      <c r="AP89" s="84">
        <v>178083</v>
      </c>
      <c r="AQ89" s="84">
        <v>547156</v>
      </c>
      <c r="AR89" s="84">
        <v>9162175</v>
      </c>
      <c r="AS89" s="84">
        <v>41986714</v>
      </c>
      <c r="AT89" s="84">
        <v>1854373</v>
      </c>
      <c r="AU89" s="84">
        <v>6071927</v>
      </c>
      <c r="AV89" s="84">
        <v>-1787355</v>
      </c>
      <c r="AW89" s="84">
        <v>-7443782</v>
      </c>
      <c r="AX89" s="84">
        <v>14335466</v>
      </c>
      <c r="AY89" s="84">
        <v>42039921</v>
      </c>
      <c r="AZ89" s="84">
        <v>397333</v>
      </c>
      <c r="BA89" s="84">
        <v>1523077</v>
      </c>
      <c r="BB89" s="84">
        <v>6413762</v>
      </c>
      <c r="BC89" s="84">
        <v>22091117</v>
      </c>
      <c r="BD89" s="103">
        <v>6587857</v>
      </c>
      <c r="BE89" s="103">
        <v>26347228</v>
      </c>
      <c r="BF89" s="84">
        <v>17793414</v>
      </c>
      <c r="BG89" s="84">
        <v>60805720</v>
      </c>
      <c r="BH89" s="103">
        <v>4785082</v>
      </c>
      <c r="BI89" s="103">
        <v>21592520</v>
      </c>
      <c r="BJ89" s="103">
        <v>7047501</v>
      </c>
      <c r="BK89" s="103">
        <v>27815083</v>
      </c>
      <c r="BL89" s="103">
        <v>7531061</v>
      </c>
      <c r="BM89" s="103">
        <v>18838499</v>
      </c>
      <c r="BN89" s="73">
        <f t="shared" si="38"/>
        <v>111119092.73717076</v>
      </c>
      <c r="BO89" s="73">
        <f t="shared" si="39"/>
        <v>453778883.63264275</v>
      </c>
    </row>
    <row r="90" spans="1:67" x14ac:dyDescent="0.25">
      <c r="A90" s="84" t="s">
        <v>229</v>
      </c>
      <c r="B90" s="84">
        <v>825304</v>
      </c>
      <c r="C90" s="84">
        <v>2194500</v>
      </c>
      <c r="D90" s="84">
        <v>3481746</v>
      </c>
      <c r="E90" s="84">
        <v>9992790</v>
      </c>
      <c r="F90" s="103">
        <v>17660264</v>
      </c>
      <c r="G90" s="103">
        <v>63536074</v>
      </c>
      <c r="H90" s="84">
        <v>19634778</v>
      </c>
      <c r="I90" s="84">
        <v>74172549</v>
      </c>
      <c r="J90" s="84">
        <v>5153891</v>
      </c>
      <c r="K90" s="84">
        <v>19454866</v>
      </c>
      <c r="L90" s="84">
        <v>9771702</v>
      </c>
      <c r="M90" s="84">
        <v>33575853</v>
      </c>
      <c r="N90" s="103">
        <v>2920639.43</v>
      </c>
      <c r="O90" s="103">
        <v>8623231.9100000001</v>
      </c>
      <c r="P90" s="84">
        <v>499716</v>
      </c>
      <c r="Q90" s="84">
        <v>1842242</v>
      </c>
      <c r="R90" s="84">
        <v>7043120</v>
      </c>
      <c r="S90" s="84">
        <v>22872998</v>
      </c>
      <c r="T90" s="84">
        <v>9141078</v>
      </c>
      <c r="U90" s="84">
        <v>26323049</v>
      </c>
      <c r="V90" s="84">
        <v>19746784</v>
      </c>
      <c r="W90" s="84">
        <v>65042858</v>
      </c>
      <c r="X90" s="84">
        <v>27647892</v>
      </c>
      <c r="Y90" s="84">
        <v>106849780</v>
      </c>
      <c r="Z90" s="84">
        <v>14155122</v>
      </c>
      <c r="AA90" s="84">
        <v>52868801</v>
      </c>
      <c r="AB90" s="84">
        <v>1408731</v>
      </c>
      <c r="AC90" s="84">
        <v>4776890</v>
      </c>
      <c r="AD90" s="84">
        <v>3474145</v>
      </c>
      <c r="AE90" s="84">
        <v>12184491</v>
      </c>
      <c r="AF90" s="84">
        <v>2370592</v>
      </c>
      <c r="AG90" s="84">
        <v>7982476</v>
      </c>
      <c r="AH90" s="103">
        <v>2153025</v>
      </c>
      <c r="AI90" s="103">
        <v>7161944</v>
      </c>
      <c r="AJ90" s="84">
        <v>4610829</v>
      </c>
      <c r="AK90" s="84">
        <v>13485249</v>
      </c>
      <c r="AL90" s="84">
        <v>33049409.000541229</v>
      </c>
      <c r="AM90" s="84">
        <v>126434866.23020327</v>
      </c>
      <c r="AN90" s="84">
        <v>269563</v>
      </c>
      <c r="AO90" s="84">
        <v>888050</v>
      </c>
      <c r="AP90" s="84">
        <v>858353</v>
      </c>
      <c r="AQ90" s="84">
        <v>2414397</v>
      </c>
      <c r="AR90" s="84">
        <v>11101912</v>
      </c>
      <c r="AS90" s="84">
        <v>42067321</v>
      </c>
      <c r="AT90" s="84">
        <v>6250579</v>
      </c>
      <c r="AU90" s="84">
        <v>19808292</v>
      </c>
      <c r="AV90" s="84">
        <v>6230687</v>
      </c>
      <c r="AW90" s="84">
        <v>21385551</v>
      </c>
      <c r="AX90" s="84">
        <v>15551063</v>
      </c>
      <c r="AY90" s="84">
        <v>41076108</v>
      </c>
      <c r="AZ90" s="84">
        <v>5416370</v>
      </c>
      <c r="BA90" s="84">
        <v>19921823</v>
      </c>
      <c r="BB90" s="84">
        <v>26204423</v>
      </c>
      <c r="BC90" s="84">
        <v>71794270</v>
      </c>
      <c r="BD90" s="103">
        <v>17228629</v>
      </c>
      <c r="BE90" s="103">
        <v>59394169</v>
      </c>
      <c r="BF90" s="84">
        <v>72907283</v>
      </c>
      <c r="BG90" s="84">
        <v>269658352</v>
      </c>
      <c r="BH90" s="103">
        <v>30072258</v>
      </c>
      <c r="BI90" s="103">
        <v>110073577</v>
      </c>
      <c r="BJ90" s="103">
        <v>41403757</v>
      </c>
      <c r="BK90" s="103">
        <v>140806572</v>
      </c>
      <c r="BL90" s="103">
        <v>1193317</v>
      </c>
      <c r="BM90" s="103">
        <v>11716042</v>
      </c>
      <c r="BN90" s="73">
        <f t="shared" si="38"/>
        <v>419436961.43054128</v>
      </c>
      <c r="BO90" s="73">
        <f t="shared" si="39"/>
        <v>1470380032.1402032</v>
      </c>
    </row>
    <row r="91" spans="1:67" x14ac:dyDescent="0.25">
      <c r="A91" s="84" t="s">
        <v>230</v>
      </c>
      <c r="B91" s="84">
        <v>564535</v>
      </c>
      <c r="C91" s="84">
        <v>1742233</v>
      </c>
      <c r="D91" s="84">
        <v>3067560</v>
      </c>
      <c r="E91" s="84">
        <v>8472330</v>
      </c>
      <c r="F91" s="103">
        <v>14098614</v>
      </c>
      <c r="G91" s="103">
        <v>68164290</v>
      </c>
      <c r="H91" s="84">
        <v>17943557</v>
      </c>
      <c r="I91" s="84">
        <v>74361302</v>
      </c>
      <c r="J91" s="84">
        <v>4403728</v>
      </c>
      <c r="K91" s="84">
        <v>18338848</v>
      </c>
      <c r="L91" s="84">
        <v>8189109</v>
      </c>
      <c r="M91" s="84">
        <v>32024362</v>
      </c>
      <c r="N91" s="103">
        <v>2489204.98</v>
      </c>
      <c r="O91" s="103">
        <v>8273063.5700000003</v>
      </c>
      <c r="P91" s="84">
        <v>423386</v>
      </c>
      <c r="Q91" s="84">
        <v>1624906</v>
      </c>
      <c r="R91" s="84">
        <v>5729070</v>
      </c>
      <c r="S91" s="84">
        <v>21823271</v>
      </c>
      <c r="T91" s="84">
        <v>5733542</v>
      </c>
      <c r="U91" s="84">
        <v>19436886</v>
      </c>
      <c r="V91" s="84">
        <v>15743359</v>
      </c>
      <c r="W91" s="84">
        <v>64055806</v>
      </c>
      <c r="X91" s="84">
        <v>26162194</v>
      </c>
      <c r="Y91" s="84">
        <v>100139940</v>
      </c>
      <c r="Z91" s="84">
        <v>12857239</v>
      </c>
      <c r="AA91" s="84">
        <v>48987593</v>
      </c>
      <c r="AB91" s="84">
        <v>1065460</v>
      </c>
      <c r="AC91" s="84">
        <v>3893125</v>
      </c>
      <c r="AD91" s="84">
        <v>3043627</v>
      </c>
      <c r="AE91" s="84">
        <v>12388928</v>
      </c>
      <c r="AF91" s="84">
        <v>1916354</v>
      </c>
      <c r="AG91" s="84">
        <v>7616974</v>
      </c>
      <c r="AH91" s="103">
        <v>1838109</v>
      </c>
      <c r="AI91" s="103">
        <v>6313667</v>
      </c>
      <c r="AJ91" s="84">
        <v>3860699</v>
      </c>
      <c r="AK91" s="84">
        <v>11508667</v>
      </c>
      <c r="AL91" s="84">
        <v>28007148.80217623</v>
      </c>
      <c r="AM91" s="84">
        <v>112414830.67374018</v>
      </c>
      <c r="AN91" s="84">
        <v>193522</v>
      </c>
      <c r="AO91" s="84">
        <v>883852</v>
      </c>
      <c r="AP91" s="84">
        <v>555105</v>
      </c>
      <c r="AQ91" s="84">
        <v>1829017</v>
      </c>
      <c r="AR91" s="84">
        <v>9257405</v>
      </c>
      <c r="AS91" s="84">
        <v>36611131</v>
      </c>
      <c r="AT91" s="84">
        <v>5680331</v>
      </c>
      <c r="AU91" s="84">
        <v>17294695</v>
      </c>
      <c r="AV91" s="84">
        <v>5139449</v>
      </c>
      <c r="AW91" s="84">
        <v>21152009</v>
      </c>
      <c r="AX91" s="84">
        <v>9793566</v>
      </c>
      <c r="AY91" s="84">
        <v>34905824</v>
      </c>
      <c r="AZ91" s="84">
        <v>5016252</v>
      </c>
      <c r="BA91" s="84">
        <v>21417731</v>
      </c>
      <c r="BB91" s="84">
        <v>6638162</v>
      </c>
      <c r="BC91" s="84">
        <v>46266309</v>
      </c>
      <c r="BD91" s="103">
        <v>13353124</v>
      </c>
      <c r="BE91" s="103">
        <v>49354326</v>
      </c>
      <c r="BF91" s="84">
        <v>69601453</v>
      </c>
      <c r="BG91" s="84">
        <v>262337229</v>
      </c>
      <c r="BH91" s="103">
        <v>29589700</v>
      </c>
      <c r="BI91" s="103">
        <v>110369827</v>
      </c>
      <c r="BJ91" s="103">
        <v>40062919</v>
      </c>
      <c r="BK91" s="103">
        <v>139079335</v>
      </c>
      <c r="BL91" s="103">
        <v>1627390</v>
      </c>
      <c r="BM91" s="103">
        <v>13113520</v>
      </c>
      <c r="BN91" s="73">
        <f t="shared" si="38"/>
        <v>353644873.78217626</v>
      </c>
      <c r="BO91" s="73">
        <f t="shared" si="39"/>
        <v>1376195827.2437401</v>
      </c>
    </row>
  </sheetData>
  <mergeCells count="330">
    <mergeCell ref="J4:K4"/>
    <mergeCell ref="L4:M4"/>
    <mergeCell ref="AT4:AU4"/>
    <mergeCell ref="X4:Y4"/>
    <mergeCell ref="Z4:AA4"/>
    <mergeCell ref="AB4:AC4"/>
    <mergeCell ref="AD4:AE4"/>
    <mergeCell ref="AF4:AG4"/>
    <mergeCell ref="AH4:AI4"/>
    <mergeCell ref="N4:O4"/>
    <mergeCell ref="P4:Q4"/>
    <mergeCell ref="R4:S4"/>
    <mergeCell ref="T4:U4"/>
    <mergeCell ref="V4:W4"/>
    <mergeCell ref="BH4:BI4"/>
    <mergeCell ref="BJ4:BK4"/>
    <mergeCell ref="BL4:BM4"/>
    <mergeCell ref="BN4:BO4"/>
    <mergeCell ref="B13:C13"/>
    <mergeCell ref="D13:E13"/>
    <mergeCell ref="F13:G13"/>
    <mergeCell ref="H13:I13"/>
    <mergeCell ref="J13:K13"/>
    <mergeCell ref="AV4:AW4"/>
    <mergeCell ref="AX4:AY4"/>
    <mergeCell ref="AZ4:BA4"/>
    <mergeCell ref="BB4:BC4"/>
    <mergeCell ref="BD4:BE4"/>
    <mergeCell ref="BF4:BG4"/>
    <mergeCell ref="AJ4:AK4"/>
    <mergeCell ref="AL4:AM4"/>
    <mergeCell ref="AN4:AO4"/>
    <mergeCell ref="AP4:AQ4"/>
    <mergeCell ref="AR4:AS4"/>
    <mergeCell ref="B4:C4"/>
    <mergeCell ref="D4:E4"/>
    <mergeCell ref="F4:G4"/>
    <mergeCell ref="H4:I4"/>
    <mergeCell ref="BL13:BM13"/>
    <mergeCell ref="BN13:BO13"/>
    <mergeCell ref="AT13:AU13"/>
    <mergeCell ref="AV13:AW13"/>
    <mergeCell ref="AX13:AY13"/>
    <mergeCell ref="AZ13:BA13"/>
    <mergeCell ref="BB13:BC13"/>
    <mergeCell ref="BD13:BE13"/>
    <mergeCell ref="R13:S13"/>
    <mergeCell ref="T13:U13"/>
    <mergeCell ref="V13:W13"/>
    <mergeCell ref="B22:C22"/>
    <mergeCell ref="D22:E22"/>
    <mergeCell ref="F22:G22"/>
    <mergeCell ref="H22:I22"/>
    <mergeCell ref="J22:K22"/>
    <mergeCell ref="L22:M22"/>
    <mergeCell ref="BF13:BG13"/>
    <mergeCell ref="BH13:BI13"/>
    <mergeCell ref="BJ13:BK13"/>
    <mergeCell ref="AH13:AI13"/>
    <mergeCell ref="AJ13:AK13"/>
    <mergeCell ref="AL13:AM13"/>
    <mergeCell ref="AN13:AO13"/>
    <mergeCell ref="AP13:AQ13"/>
    <mergeCell ref="AR13:AS13"/>
    <mergeCell ref="X13:Y13"/>
    <mergeCell ref="Z13:AA13"/>
    <mergeCell ref="AB13:AC13"/>
    <mergeCell ref="AD13:AE13"/>
    <mergeCell ref="AF13:AG13"/>
    <mergeCell ref="L13:M13"/>
    <mergeCell ref="N13:O13"/>
    <mergeCell ref="P13:Q13"/>
    <mergeCell ref="AD22:AE22"/>
    <mergeCell ref="AF22:AG22"/>
    <mergeCell ref="AH22:AI22"/>
    <mergeCell ref="N22:O22"/>
    <mergeCell ref="P22:Q22"/>
    <mergeCell ref="R22:S22"/>
    <mergeCell ref="T22:U22"/>
    <mergeCell ref="V22:W22"/>
    <mergeCell ref="BH22:BI22"/>
    <mergeCell ref="BJ22:BK22"/>
    <mergeCell ref="BL22:BM22"/>
    <mergeCell ref="BN22:BO22"/>
    <mergeCell ref="B31:C31"/>
    <mergeCell ref="D31:E31"/>
    <mergeCell ref="F31:G31"/>
    <mergeCell ref="H31:I31"/>
    <mergeCell ref="J31:K31"/>
    <mergeCell ref="AV22:AW22"/>
    <mergeCell ref="AX22:AY22"/>
    <mergeCell ref="AZ22:BA22"/>
    <mergeCell ref="BB22:BC22"/>
    <mergeCell ref="BD22:BE22"/>
    <mergeCell ref="BF22:BG22"/>
    <mergeCell ref="AJ22:AK22"/>
    <mergeCell ref="AL22:AM22"/>
    <mergeCell ref="AN22:AO22"/>
    <mergeCell ref="AP22:AQ22"/>
    <mergeCell ref="AR22:AS22"/>
    <mergeCell ref="AT22:AU22"/>
    <mergeCell ref="X22:Y22"/>
    <mergeCell ref="Z22:AA22"/>
    <mergeCell ref="AB22:AC22"/>
    <mergeCell ref="BL31:BM31"/>
    <mergeCell ref="BN31:BO31"/>
    <mergeCell ref="AT31:AU31"/>
    <mergeCell ref="AV31:AW31"/>
    <mergeCell ref="AX31:AY31"/>
    <mergeCell ref="AZ31:BA31"/>
    <mergeCell ref="BB31:BC31"/>
    <mergeCell ref="BD31:BE31"/>
    <mergeCell ref="R31:S31"/>
    <mergeCell ref="T31:U31"/>
    <mergeCell ref="V31:W31"/>
    <mergeCell ref="B40:C40"/>
    <mergeCell ref="D40:E40"/>
    <mergeCell ref="F40:G40"/>
    <mergeCell ref="H40:I40"/>
    <mergeCell ref="J40:K40"/>
    <mergeCell ref="L40:M40"/>
    <mergeCell ref="BF31:BG31"/>
    <mergeCell ref="BH31:BI31"/>
    <mergeCell ref="BJ31:BK31"/>
    <mergeCell ref="AH31:AI31"/>
    <mergeCell ref="AJ31:AK31"/>
    <mergeCell ref="AL31:AM31"/>
    <mergeCell ref="AN31:AO31"/>
    <mergeCell ref="AP31:AQ31"/>
    <mergeCell ref="AR31:AS31"/>
    <mergeCell ref="X31:Y31"/>
    <mergeCell ref="Z31:AA31"/>
    <mergeCell ref="AB31:AC31"/>
    <mergeCell ref="AD31:AE31"/>
    <mergeCell ref="AF31:AG31"/>
    <mergeCell ref="L31:M31"/>
    <mergeCell ref="N31:O31"/>
    <mergeCell ref="P31:Q31"/>
    <mergeCell ref="AD40:AE40"/>
    <mergeCell ref="AF40:AG40"/>
    <mergeCell ref="AH40:AI40"/>
    <mergeCell ref="N40:O40"/>
    <mergeCell ref="P40:Q40"/>
    <mergeCell ref="R40:S40"/>
    <mergeCell ref="T40:U40"/>
    <mergeCell ref="V40:W40"/>
    <mergeCell ref="BH40:BI40"/>
    <mergeCell ref="BJ40:BK40"/>
    <mergeCell ref="BL40:BM40"/>
    <mergeCell ref="BN40:BO40"/>
    <mergeCell ref="B49:C49"/>
    <mergeCell ref="D49:E49"/>
    <mergeCell ref="F49:G49"/>
    <mergeCell ref="H49:I49"/>
    <mergeCell ref="J49:K49"/>
    <mergeCell ref="AV40:AW40"/>
    <mergeCell ref="AX40:AY40"/>
    <mergeCell ref="AZ40:BA40"/>
    <mergeCell ref="BB40:BC40"/>
    <mergeCell ref="BD40:BE40"/>
    <mergeCell ref="BF40:BG40"/>
    <mergeCell ref="AJ40:AK40"/>
    <mergeCell ref="AL40:AM40"/>
    <mergeCell ref="AN40:AO40"/>
    <mergeCell ref="AP40:AQ40"/>
    <mergeCell ref="AR40:AS40"/>
    <mergeCell ref="AT40:AU40"/>
    <mergeCell ref="X40:Y40"/>
    <mergeCell ref="Z40:AA40"/>
    <mergeCell ref="AB40:AC40"/>
    <mergeCell ref="BL49:BM49"/>
    <mergeCell ref="BN49:BO49"/>
    <mergeCell ref="AT49:AU49"/>
    <mergeCell ref="AV49:AW49"/>
    <mergeCell ref="AX49:AY49"/>
    <mergeCell ref="AZ49:BA49"/>
    <mergeCell ref="BB49:BC49"/>
    <mergeCell ref="BD49:BE49"/>
    <mergeCell ref="R49:S49"/>
    <mergeCell ref="T49:U49"/>
    <mergeCell ref="V49:W49"/>
    <mergeCell ref="B58:C58"/>
    <mergeCell ref="D58:E58"/>
    <mergeCell ref="F58:G58"/>
    <mergeCell ref="H58:I58"/>
    <mergeCell ref="J58:K58"/>
    <mergeCell ref="L58:M58"/>
    <mergeCell ref="BF49:BG49"/>
    <mergeCell ref="BH49:BI49"/>
    <mergeCell ref="BJ49:BK49"/>
    <mergeCell ref="AH49:AI49"/>
    <mergeCell ref="AJ49:AK49"/>
    <mergeCell ref="AL49:AM49"/>
    <mergeCell ref="AN49:AO49"/>
    <mergeCell ref="AP49:AQ49"/>
    <mergeCell ref="AR49:AS49"/>
    <mergeCell ref="X49:Y49"/>
    <mergeCell ref="Z49:AA49"/>
    <mergeCell ref="AB49:AC49"/>
    <mergeCell ref="AD49:AE49"/>
    <mergeCell ref="AF49:AG49"/>
    <mergeCell ref="L49:M49"/>
    <mergeCell ref="N49:O49"/>
    <mergeCell ref="P49:Q49"/>
    <mergeCell ref="AD58:AE58"/>
    <mergeCell ref="B67:C67"/>
    <mergeCell ref="D67:E67"/>
    <mergeCell ref="F67:G67"/>
    <mergeCell ref="H67:I67"/>
    <mergeCell ref="J67:K67"/>
    <mergeCell ref="AV58:AW58"/>
    <mergeCell ref="AX58:AY58"/>
    <mergeCell ref="AZ58:BA58"/>
    <mergeCell ref="BB58:BC58"/>
    <mergeCell ref="AJ58:AK58"/>
    <mergeCell ref="AL58:AM58"/>
    <mergeCell ref="AN58:AO58"/>
    <mergeCell ref="AP58:AQ58"/>
    <mergeCell ref="AR58:AS58"/>
    <mergeCell ref="AT58:AU58"/>
    <mergeCell ref="X58:Y58"/>
    <mergeCell ref="Z58:AA58"/>
    <mergeCell ref="AB58:AC58"/>
    <mergeCell ref="AF58:AG58"/>
    <mergeCell ref="AH58:AI58"/>
    <mergeCell ref="N58:O58"/>
    <mergeCell ref="P58:Q58"/>
    <mergeCell ref="R58:S58"/>
    <mergeCell ref="T58:U58"/>
    <mergeCell ref="AX67:AY67"/>
    <mergeCell ref="AZ67:BA67"/>
    <mergeCell ref="BB67:BC67"/>
    <mergeCell ref="BD67:BE67"/>
    <mergeCell ref="R67:S67"/>
    <mergeCell ref="T67:U67"/>
    <mergeCell ref="V67:W67"/>
    <mergeCell ref="BL58:BM58"/>
    <mergeCell ref="BN58:BO58"/>
    <mergeCell ref="BD58:BE58"/>
    <mergeCell ref="BF58:BG58"/>
    <mergeCell ref="BL67:BM67"/>
    <mergeCell ref="BN67:BO67"/>
    <mergeCell ref="V58:W58"/>
    <mergeCell ref="BH58:BI58"/>
    <mergeCell ref="BJ58:BK58"/>
    <mergeCell ref="D76:E76"/>
    <mergeCell ref="F76:G76"/>
    <mergeCell ref="H76:I76"/>
    <mergeCell ref="J76:K76"/>
    <mergeCell ref="L76:M76"/>
    <mergeCell ref="BF67:BG67"/>
    <mergeCell ref="BH67:BI67"/>
    <mergeCell ref="BJ67:BK67"/>
    <mergeCell ref="AH67:AI67"/>
    <mergeCell ref="AJ67:AK67"/>
    <mergeCell ref="AL67:AM67"/>
    <mergeCell ref="AN67:AO67"/>
    <mergeCell ref="AP67:AQ67"/>
    <mergeCell ref="AR67:AS67"/>
    <mergeCell ref="X67:Y67"/>
    <mergeCell ref="Z67:AA67"/>
    <mergeCell ref="AB67:AC67"/>
    <mergeCell ref="AD67:AE67"/>
    <mergeCell ref="AF67:AG67"/>
    <mergeCell ref="L67:M67"/>
    <mergeCell ref="N67:O67"/>
    <mergeCell ref="P67:Q67"/>
    <mergeCell ref="AT67:AU67"/>
    <mergeCell ref="AV67:AW67"/>
    <mergeCell ref="BN76:BO76"/>
    <mergeCell ref="B85:C85"/>
    <mergeCell ref="D85:E85"/>
    <mergeCell ref="F85:G85"/>
    <mergeCell ref="H85:I85"/>
    <mergeCell ref="J85:K85"/>
    <mergeCell ref="AV76:AW76"/>
    <mergeCell ref="AX76:AY76"/>
    <mergeCell ref="AZ76:BA76"/>
    <mergeCell ref="BB76:BC76"/>
    <mergeCell ref="BD76:BE76"/>
    <mergeCell ref="BF76:BG76"/>
    <mergeCell ref="AJ76:AK76"/>
    <mergeCell ref="AL76:AM76"/>
    <mergeCell ref="AN76:AO76"/>
    <mergeCell ref="AP76:AQ76"/>
    <mergeCell ref="AR76:AS76"/>
    <mergeCell ref="AT76:AU76"/>
    <mergeCell ref="X76:Y76"/>
    <mergeCell ref="Z76:AA76"/>
    <mergeCell ref="AB76:AC76"/>
    <mergeCell ref="AD76:AE76"/>
    <mergeCell ref="AF76:AG76"/>
    <mergeCell ref="B76:C76"/>
    <mergeCell ref="L85:M85"/>
    <mergeCell ref="N85:O85"/>
    <mergeCell ref="P85:Q85"/>
    <mergeCell ref="R85:S85"/>
    <mergeCell ref="T85:U85"/>
    <mergeCell ref="V85:W85"/>
    <mergeCell ref="BH76:BI76"/>
    <mergeCell ref="BJ76:BK76"/>
    <mergeCell ref="BL76:BM76"/>
    <mergeCell ref="AH76:AI76"/>
    <mergeCell ref="N76:O76"/>
    <mergeCell ref="P76:Q76"/>
    <mergeCell ref="R76:S76"/>
    <mergeCell ref="T76:U76"/>
    <mergeCell ref="V76:W76"/>
    <mergeCell ref="AH85:AI85"/>
    <mergeCell ref="AJ85:AK85"/>
    <mergeCell ref="AL85:AM85"/>
    <mergeCell ref="AN85:AO85"/>
    <mergeCell ref="AP85:AQ85"/>
    <mergeCell ref="AR85:AS85"/>
    <mergeCell ref="X85:Y85"/>
    <mergeCell ref="BN85:BO85"/>
    <mergeCell ref="AT85:AU85"/>
    <mergeCell ref="AV85:AW85"/>
    <mergeCell ref="AX85:AY85"/>
    <mergeCell ref="AZ85:BA85"/>
    <mergeCell ref="BB85:BC85"/>
    <mergeCell ref="BD85:BE85"/>
    <mergeCell ref="Z85:AA85"/>
    <mergeCell ref="AB85:AC85"/>
    <mergeCell ref="AD85:AE85"/>
    <mergeCell ref="AF85:AG85"/>
    <mergeCell ref="BF85:BG85"/>
    <mergeCell ref="BH85:BI85"/>
    <mergeCell ref="BJ85:BK85"/>
    <mergeCell ref="BL85:BM8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1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5.140625" style="76" customWidth="1"/>
    <col min="2" max="67" width="16" style="76" customWidth="1"/>
    <col min="68" max="16384" width="9.140625" style="76"/>
  </cols>
  <sheetData>
    <row r="1" spans="1:67" ht="18.75" x14ac:dyDescent="0.3">
      <c r="A1" s="4" t="s">
        <v>227</v>
      </c>
    </row>
    <row r="2" spans="1:67" x14ac:dyDescent="0.25">
      <c r="A2" s="13" t="s">
        <v>34</v>
      </c>
    </row>
    <row r="3" spans="1:67" x14ac:dyDescent="0.25">
      <c r="A3" s="28" t="s">
        <v>216</v>
      </c>
    </row>
    <row r="4" spans="1:67" x14ac:dyDescent="0.25">
      <c r="A4" s="3" t="s">
        <v>0</v>
      </c>
      <c r="B4" s="119" t="s">
        <v>1</v>
      </c>
      <c r="C4" s="120"/>
      <c r="D4" s="119" t="s">
        <v>282</v>
      </c>
      <c r="E4" s="120"/>
      <c r="F4" s="119" t="s">
        <v>2</v>
      </c>
      <c r="G4" s="120"/>
      <c r="H4" s="119" t="s">
        <v>3</v>
      </c>
      <c r="I4" s="120"/>
      <c r="J4" s="119" t="s">
        <v>4</v>
      </c>
      <c r="K4" s="120"/>
      <c r="L4" s="119" t="s">
        <v>283</v>
      </c>
      <c r="M4" s="120"/>
      <c r="N4" s="119" t="s">
        <v>6</v>
      </c>
      <c r="O4" s="120"/>
      <c r="P4" s="119" t="s">
        <v>5</v>
      </c>
      <c r="Q4" s="120"/>
      <c r="R4" s="119" t="s">
        <v>7</v>
      </c>
      <c r="S4" s="120"/>
      <c r="T4" s="119" t="s">
        <v>284</v>
      </c>
      <c r="U4" s="120"/>
      <c r="V4" s="119" t="s">
        <v>8</v>
      </c>
      <c r="W4" s="120"/>
      <c r="X4" s="119" t="s">
        <v>9</v>
      </c>
      <c r="Y4" s="120"/>
      <c r="Z4" s="119" t="s">
        <v>10</v>
      </c>
      <c r="AA4" s="120"/>
      <c r="AB4" s="119" t="s">
        <v>293</v>
      </c>
      <c r="AC4" s="120"/>
      <c r="AD4" s="119" t="s">
        <v>11</v>
      </c>
      <c r="AE4" s="120"/>
      <c r="AF4" s="119" t="s">
        <v>12</v>
      </c>
      <c r="AG4" s="120"/>
      <c r="AH4" s="119" t="s">
        <v>285</v>
      </c>
      <c r="AI4" s="120"/>
      <c r="AJ4" s="119" t="s">
        <v>290</v>
      </c>
      <c r="AK4" s="120"/>
      <c r="AL4" s="119" t="s">
        <v>13</v>
      </c>
      <c r="AM4" s="120"/>
      <c r="AN4" s="119" t="s">
        <v>286</v>
      </c>
      <c r="AO4" s="120"/>
      <c r="AP4" s="119" t="s">
        <v>287</v>
      </c>
      <c r="AQ4" s="120"/>
      <c r="AR4" s="119" t="s">
        <v>291</v>
      </c>
      <c r="AS4" s="120"/>
      <c r="AT4" s="119" t="s">
        <v>294</v>
      </c>
      <c r="AU4" s="120"/>
      <c r="AV4" s="119" t="s">
        <v>14</v>
      </c>
      <c r="AW4" s="120"/>
      <c r="AX4" s="119" t="s">
        <v>15</v>
      </c>
      <c r="AY4" s="120"/>
      <c r="AZ4" s="119" t="s">
        <v>16</v>
      </c>
      <c r="BA4" s="120"/>
      <c r="BB4" s="119" t="s">
        <v>17</v>
      </c>
      <c r="BC4" s="120"/>
      <c r="BD4" s="119" t="s">
        <v>18</v>
      </c>
      <c r="BE4" s="120"/>
      <c r="BF4" s="119" t="s">
        <v>288</v>
      </c>
      <c r="BG4" s="120"/>
      <c r="BH4" s="119" t="s">
        <v>289</v>
      </c>
      <c r="BI4" s="120"/>
      <c r="BJ4" s="119" t="s">
        <v>19</v>
      </c>
      <c r="BK4" s="120"/>
      <c r="BL4" s="119" t="s">
        <v>20</v>
      </c>
      <c r="BM4" s="120"/>
      <c r="BN4" s="121" t="s">
        <v>21</v>
      </c>
      <c r="BO4" s="122"/>
    </row>
    <row r="5" spans="1:67" ht="30" x14ac:dyDescent="0.25">
      <c r="A5" s="3"/>
      <c r="B5" s="57" t="s">
        <v>296</v>
      </c>
      <c r="C5" s="58" t="s">
        <v>297</v>
      </c>
      <c r="D5" s="57" t="s">
        <v>296</v>
      </c>
      <c r="E5" s="58" t="s">
        <v>297</v>
      </c>
      <c r="F5" s="57" t="s">
        <v>296</v>
      </c>
      <c r="G5" s="58" t="s">
        <v>297</v>
      </c>
      <c r="H5" s="57" t="s">
        <v>296</v>
      </c>
      <c r="I5" s="58" t="s">
        <v>297</v>
      </c>
      <c r="J5" s="57" t="s">
        <v>296</v>
      </c>
      <c r="K5" s="58" t="s">
        <v>297</v>
      </c>
      <c r="L5" s="57" t="s">
        <v>296</v>
      </c>
      <c r="M5" s="58" t="s">
        <v>297</v>
      </c>
      <c r="N5" s="57" t="s">
        <v>296</v>
      </c>
      <c r="O5" s="58" t="s">
        <v>297</v>
      </c>
      <c r="P5" s="57" t="s">
        <v>296</v>
      </c>
      <c r="Q5" s="58" t="s">
        <v>297</v>
      </c>
      <c r="R5" s="57" t="s">
        <v>296</v>
      </c>
      <c r="S5" s="58" t="s">
        <v>297</v>
      </c>
      <c r="T5" s="57" t="s">
        <v>296</v>
      </c>
      <c r="U5" s="58" t="s">
        <v>297</v>
      </c>
      <c r="V5" s="57" t="s">
        <v>296</v>
      </c>
      <c r="W5" s="58" t="s">
        <v>297</v>
      </c>
      <c r="X5" s="57" t="s">
        <v>296</v>
      </c>
      <c r="Y5" s="58" t="s">
        <v>297</v>
      </c>
      <c r="Z5" s="57" t="s">
        <v>296</v>
      </c>
      <c r="AA5" s="58" t="s">
        <v>297</v>
      </c>
      <c r="AB5" s="57" t="s">
        <v>296</v>
      </c>
      <c r="AC5" s="58" t="s">
        <v>297</v>
      </c>
      <c r="AD5" s="57" t="s">
        <v>296</v>
      </c>
      <c r="AE5" s="58" t="s">
        <v>297</v>
      </c>
      <c r="AF5" s="57" t="s">
        <v>296</v>
      </c>
      <c r="AG5" s="58" t="s">
        <v>297</v>
      </c>
      <c r="AH5" s="57" t="s">
        <v>296</v>
      </c>
      <c r="AI5" s="58" t="s">
        <v>297</v>
      </c>
      <c r="AJ5" s="57" t="s">
        <v>296</v>
      </c>
      <c r="AK5" s="58" t="s">
        <v>297</v>
      </c>
      <c r="AL5" s="57" t="s">
        <v>296</v>
      </c>
      <c r="AM5" s="58" t="s">
        <v>297</v>
      </c>
      <c r="AN5" s="57" t="s">
        <v>296</v>
      </c>
      <c r="AO5" s="58" t="s">
        <v>297</v>
      </c>
      <c r="AP5" s="57" t="s">
        <v>296</v>
      </c>
      <c r="AQ5" s="58" t="s">
        <v>297</v>
      </c>
      <c r="AR5" s="57" t="s">
        <v>296</v>
      </c>
      <c r="AS5" s="58" t="s">
        <v>297</v>
      </c>
      <c r="AT5" s="57" t="s">
        <v>296</v>
      </c>
      <c r="AU5" s="58" t="s">
        <v>297</v>
      </c>
      <c r="AV5" s="57" t="s">
        <v>296</v>
      </c>
      <c r="AW5" s="58" t="s">
        <v>297</v>
      </c>
      <c r="AX5" s="57" t="s">
        <v>296</v>
      </c>
      <c r="AY5" s="58" t="s">
        <v>297</v>
      </c>
      <c r="AZ5" s="57" t="s">
        <v>296</v>
      </c>
      <c r="BA5" s="58" t="s">
        <v>297</v>
      </c>
      <c r="BB5" s="57" t="s">
        <v>296</v>
      </c>
      <c r="BC5" s="58" t="s">
        <v>297</v>
      </c>
      <c r="BD5" s="57" t="s">
        <v>296</v>
      </c>
      <c r="BE5" s="58" t="s">
        <v>297</v>
      </c>
      <c r="BF5" s="57" t="s">
        <v>296</v>
      </c>
      <c r="BG5" s="58" t="s">
        <v>297</v>
      </c>
      <c r="BH5" s="57" t="s">
        <v>296</v>
      </c>
      <c r="BI5" s="58" t="s">
        <v>297</v>
      </c>
      <c r="BJ5" s="57" t="s">
        <v>296</v>
      </c>
      <c r="BK5" s="58" t="s">
        <v>297</v>
      </c>
      <c r="BL5" s="57" t="s">
        <v>296</v>
      </c>
      <c r="BM5" s="58" t="s">
        <v>297</v>
      </c>
      <c r="BN5" s="57" t="s">
        <v>296</v>
      </c>
      <c r="BO5" s="58" t="s">
        <v>297</v>
      </c>
    </row>
    <row r="6" spans="1:67" x14ac:dyDescent="0.25">
      <c r="A6" s="21" t="s">
        <v>228</v>
      </c>
      <c r="B6" s="84"/>
      <c r="C6" s="84"/>
      <c r="D6" s="84"/>
      <c r="E6" s="84"/>
      <c r="F6" s="84"/>
      <c r="G6" s="84"/>
      <c r="H6" s="84">
        <v>1023819</v>
      </c>
      <c r="I6" s="84">
        <v>3591541</v>
      </c>
      <c r="J6" s="84">
        <v>507757</v>
      </c>
      <c r="K6" s="84">
        <v>1023318</v>
      </c>
      <c r="L6" s="84">
        <v>194968</v>
      </c>
      <c r="M6" s="84">
        <v>479360</v>
      </c>
      <c r="N6" s="84"/>
      <c r="O6" s="84"/>
      <c r="P6" s="84">
        <v>5046</v>
      </c>
      <c r="Q6" s="84">
        <v>6758</v>
      </c>
      <c r="R6" s="84">
        <v>421724</v>
      </c>
      <c r="S6" s="84">
        <v>1115678</v>
      </c>
      <c r="T6" s="84">
        <v>138600</v>
      </c>
      <c r="U6" s="84">
        <v>165355</v>
      </c>
      <c r="V6" s="84">
        <v>997184</v>
      </c>
      <c r="W6" s="84">
        <v>3524891</v>
      </c>
      <c r="X6" s="84">
        <v>1884483</v>
      </c>
      <c r="Y6" s="84">
        <v>6352804</v>
      </c>
      <c r="Z6" s="84">
        <v>333117</v>
      </c>
      <c r="AA6" s="84">
        <v>1461664</v>
      </c>
      <c r="AB6" s="84">
        <v>10933</v>
      </c>
      <c r="AC6" s="84">
        <v>173679</v>
      </c>
      <c r="AD6" s="84">
        <v>22714</v>
      </c>
      <c r="AE6" s="84">
        <v>263700</v>
      </c>
      <c r="AF6" s="84">
        <v>68848</v>
      </c>
      <c r="AG6" s="84">
        <v>259025</v>
      </c>
      <c r="AH6" s="84"/>
      <c r="AI6" s="84"/>
      <c r="AJ6" s="84"/>
      <c r="AK6" s="84"/>
      <c r="AL6" s="84">
        <v>2427254.1789999995</v>
      </c>
      <c r="AM6" s="84">
        <v>5982192.5939999996</v>
      </c>
      <c r="AN6" s="84">
        <v>865</v>
      </c>
      <c r="AO6" s="84">
        <v>2232</v>
      </c>
      <c r="AP6" s="84">
        <v>2999</v>
      </c>
      <c r="AQ6" s="84">
        <v>6949</v>
      </c>
      <c r="AR6" s="84">
        <v>709947</v>
      </c>
      <c r="AS6" s="84">
        <v>2688022</v>
      </c>
      <c r="AT6" s="84"/>
      <c r="AU6" s="84"/>
      <c r="AV6" s="84">
        <v>172623</v>
      </c>
      <c r="AW6" s="84">
        <v>768992</v>
      </c>
      <c r="AX6" s="84">
        <v>896881</v>
      </c>
      <c r="AY6" s="84">
        <v>2723032</v>
      </c>
      <c r="AZ6" s="84">
        <v>60664</v>
      </c>
      <c r="BA6" s="84">
        <v>100090</v>
      </c>
      <c r="BB6" s="84"/>
      <c r="BC6" s="84"/>
      <c r="BD6" s="103">
        <v>1023301</v>
      </c>
      <c r="BE6" s="103">
        <v>3145067</v>
      </c>
      <c r="BF6" s="84">
        <v>6407044</v>
      </c>
      <c r="BG6" s="84">
        <v>18919511</v>
      </c>
      <c r="BH6" s="103">
        <v>1616883</v>
      </c>
      <c r="BI6" s="103">
        <v>6571018</v>
      </c>
      <c r="BJ6" s="103">
        <v>3260616</v>
      </c>
      <c r="BK6" s="103">
        <v>8508642</v>
      </c>
      <c r="BL6" s="103">
        <v>63325</v>
      </c>
      <c r="BM6" s="103">
        <v>528602</v>
      </c>
      <c r="BN6" s="73">
        <f>SUM(B6+D6+F6+H6+J6+L6+N6+P6+R6+T6+V6+X6+Z6+AB6+AD6+AF6+AH6+AJ6+AL6+AN6+AP6+AR6+AT6+AV6+AX6+AZ6+BB6+BD6+BF6+BH6+BJ6+BL6)</f>
        <v>22251595.178999998</v>
      </c>
      <c r="BO6" s="73">
        <f>SUM(C6+E6+G6+I6+K6+M6+O6+Q6+S6+U6+W6+Y6+AA6+AC6+AE6+AG6+AI6+AK6+AM6+AO6+AQ6+AS6+AU6+AW6+AY6+BA6+BC6+BE6+BG6+BI6+BK6+BM6)</f>
        <v>68362122.593999997</v>
      </c>
    </row>
    <row r="7" spans="1:67" x14ac:dyDescent="0.25">
      <c r="A7" s="21" t="s">
        <v>279</v>
      </c>
      <c r="B7" s="84">
        <v>47</v>
      </c>
      <c r="C7" s="84">
        <v>47</v>
      </c>
      <c r="D7" s="84"/>
      <c r="E7" s="84"/>
      <c r="F7" s="84"/>
      <c r="G7" s="84"/>
      <c r="H7" s="84">
        <v>378729</v>
      </c>
      <c r="I7" s="84">
        <v>10477199</v>
      </c>
      <c r="J7" s="84">
        <v>7616</v>
      </c>
      <c r="K7" s="84">
        <v>471370</v>
      </c>
      <c r="L7" s="84">
        <v>468243</v>
      </c>
      <c r="M7" s="84">
        <v>468243</v>
      </c>
      <c r="N7" s="84"/>
      <c r="O7" s="84"/>
      <c r="P7" s="84">
        <v>106995</v>
      </c>
      <c r="Q7" s="84">
        <v>106995</v>
      </c>
      <c r="R7" s="84">
        <v>1029345</v>
      </c>
      <c r="S7" s="84">
        <v>1029345</v>
      </c>
      <c r="T7" s="84">
        <v>335952</v>
      </c>
      <c r="U7" s="84">
        <v>335952</v>
      </c>
      <c r="V7" s="84">
        <v>13075525</v>
      </c>
      <c r="W7" s="84">
        <v>13075525</v>
      </c>
      <c r="X7" s="84">
        <v>22398704</v>
      </c>
      <c r="Y7" s="84">
        <v>22398703</v>
      </c>
      <c r="Z7" s="84">
        <v>7780</v>
      </c>
      <c r="AA7" s="84">
        <v>848330</v>
      </c>
      <c r="AB7" s="84">
        <v>92309</v>
      </c>
      <c r="AC7" s="84">
        <v>92309</v>
      </c>
      <c r="AD7" s="84">
        <v>696316</v>
      </c>
      <c r="AE7" s="84">
        <v>696316</v>
      </c>
      <c r="AF7" s="84">
        <v>2009122</v>
      </c>
      <c r="AG7" s="84">
        <v>2009122</v>
      </c>
      <c r="AH7" s="84"/>
      <c r="AI7" s="84"/>
      <c r="AJ7" s="84"/>
      <c r="AK7" s="84"/>
      <c r="AL7" s="84">
        <v>-371337.49400000088</v>
      </c>
      <c r="AM7" s="84">
        <v>13097129.311000001</v>
      </c>
      <c r="AN7" s="84">
        <v>46038</v>
      </c>
      <c r="AO7" s="84">
        <v>46038</v>
      </c>
      <c r="AP7" s="84">
        <v>-5060</v>
      </c>
      <c r="AQ7" s="84">
        <v>13113</v>
      </c>
      <c r="AR7" s="84">
        <v>1665221</v>
      </c>
      <c r="AS7" s="84">
        <v>1665221</v>
      </c>
      <c r="AT7" s="84"/>
      <c r="AU7" s="84"/>
      <c r="AV7" s="84"/>
      <c r="AW7" s="84">
        <v>2327413</v>
      </c>
      <c r="AX7" s="84">
        <v>1848501</v>
      </c>
      <c r="AY7" s="84">
        <v>1848501</v>
      </c>
      <c r="AZ7" s="84">
        <v>175709</v>
      </c>
      <c r="BA7" s="84">
        <v>175709</v>
      </c>
      <c r="BB7" s="84"/>
      <c r="BC7" s="84"/>
      <c r="BD7" s="103">
        <v>1216383</v>
      </c>
      <c r="BE7" s="103">
        <v>1216383</v>
      </c>
      <c r="BF7" s="84">
        <v>61537555</v>
      </c>
      <c r="BG7" s="84">
        <v>61537555</v>
      </c>
      <c r="BH7" s="103">
        <v>-357409</v>
      </c>
      <c r="BI7" s="103">
        <v>25714585</v>
      </c>
      <c r="BJ7" s="103">
        <v>30315116</v>
      </c>
      <c r="BK7" s="103">
        <v>30315116</v>
      </c>
      <c r="BL7" s="103">
        <v>-57640</v>
      </c>
      <c r="BM7" s="103">
        <v>497615</v>
      </c>
      <c r="BN7" s="73">
        <f t="shared" ref="BN7:BN12" si="0">SUM(B7+D7+F7+H7+J7+L7+N7+P7+R7+T7+V7+X7+Z7+AB7+AD7+AF7+AH7+AJ7+AL7+AN7+AP7+AR7+AT7+AV7+AX7+AZ7+BB7+BD7+BF7+BH7+BJ7+BL7)</f>
        <v>136619759.50599998</v>
      </c>
      <c r="BO7" s="73">
        <f t="shared" ref="BO7:BO12" si="1">SUM(C7+E7+G7+I7+K7+M7+O7+Q7+S7+U7+W7+Y7+AA7+AC7+AE7+AG7+AI7+AK7+AM7+AO7+AQ7+AS7+AU7+AW7+AY7+BA7+BC7+BE7+BG7+BI7+BK7+BM7)</f>
        <v>190463834.31099999</v>
      </c>
    </row>
    <row r="8" spans="1:67" x14ac:dyDescent="0.25">
      <c r="A8" s="21" t="s">
        <v>278</v>
      </c>
      <c r="B8" s="84">
        <v>7</v>
      </c>
      <c r="C8" s="84"/>
      <c r="D8" s="84"/>
      <c r="E8" s="84"/>
      <c r="F8" s="84"/>
      <c r="G8" s="84"/>
      <c r="H8" s="84">
        <v>1258513</v>
      </c>
      <c r="I8" s="84">
        <v>9217882</v>
      </c>
      <c r="J8" s="84"/>
      <c r="K8" s="84">
        <v>338428</v>
      </c>
      <c r="L8" s="84">
        <v>490837</v>
      </c>
      <c r="M8" s="84">
        <v>286848</v>
      </c>
      <c r="N8" s="84"/>
      <c r="O8" s="84"/>
      <c r="P8" s="84">
        <v>81401</v>
      </c>
      <c r="Q8" s="84">
        <v>46660</v>
      </c>
      <c r="R8" s="84">
        <v>1052926</v>
      </c>
      <c r="S8" s="84">
        <v>700302</v>
      </c>
      <c r="T8" s="84">
        <v>322417</v>
      </c>
      <c r="U8" s="84">
        <v>174730</v>
      </c>
      <c r="V8" s="84">
        <v>-12538444</v>
      </c>
      <c r="W8" s="84">
        <v>-10169564</v>
      </c>
      <c r="X8" s="84">
        <v>23564940</v>
      </c>
      <c r="Y8" s="84">
        <v>19458908</v>
      </c>
      <c r="Z8" s="84"/>
      <c r="AA8" s="84">
        <v>668345</v>
      </c>
      <c r="AB8" s="84">
        <v>82175</v>
      </c>
      <c r="AC8" s="84">
        <v>66041</v>
      </c>
      <c r="AD8" s="84">
        <v>635834</v>
      </c>
      <c r="AE8" s="84">
        <v>597496</v>
      </c>
      <c r="AF8" s="84">
        <v>-2324329</v>
      </c>
      <c r="AG8" s="84">
        <v>-1725286</v>
      </c>
      <c r="AH8" s="84"/>
      <c r="AI8" s="84"/>
      <c r="AJ8" s="84"/>
      <c r="AK8" s="84"/>
      <c r="AL8" s="84"/>
      <c r="AM8" s="84">
        <v>12381474.805</v>
      </c>
      <c r="AN8" s="84">
        <v>-46858</v>
      </c>
      <c r="AO8" s="84">
        <v>-34692</v>
      </c>
      <c r="AP8" s="84"/>
      <c r="AQ8" s="84">
        <v>5216</v>
      </c>
      <c r="AR8" s="84">
        <v>1582086</v>
      </c>
      <c r="AS8" s="84">
        <v>1051937</v>
      </c>
      <c r="AT8" s="84"/>
      <c r="AU8" s="84"/>
      <c r="AV8" s="84"/>
      <c r="AW8" s="84">
        <v>-2181107</v>
      </c>
      <c r="AX8" s="84">
        <v>1917573</v>
      </c>
      <c r="AY8" s="84">
        <v>1318931</v>
      </c>
      <c r="AZ8" s="84">
        <v>224457</v>
      </c>
      <c r="BA8" s="84">
        <v>150124</v>
      </c>
      <c r="BB8" s="84"/>
      <c r="BC8" s="84"/>
      <c r="BD8" s="103">
        <v>1340209</v>
      </c>
      <c r="BE8" s="103">
        <v>1026333</v>
      </c>
      <c r="BF8" s="84">
        <v>61345723</v>
      </c>
      <c r="BG8" s="84">
        <v>55799175</v>
      </c>
      <c r="BH8" s="103">
        <v>0</v>
      </c>
      <c r="BI8" s="103">
        <v>23824004</v>
      </c>
      <c r="BJ8" s="103">
        <v>31885188</v>
      </c>
      <c r="BK8" s="103">
        <v>28904513</v>
      </c>
      <c r="BL8" s="103"/>
      <c r="BM8" s="103">
        <v>366796</v>
      </c>
      <c r="BN8" s="73">
        <f t="shared" si="0"/>
        <v>110874655</v>
      </c>
      <c r="BO8" s="73">
        <f t="shared" si="1"/>
        <v>142273494.80500001</v>
      </c>
    </row>
    <row r="9" spans="1:67" x14ac:dyDescent="0.25">
      <c r="A9" s="21" t="s">
        <v>281</v>
      </c>
      <c r="B9" s="84"/>
      <c r="C9" s="84"/>
      <c r="D9" s="84"/>
      <c r="E9" s="84"/>
      <c r="F9" s="84"/>
      <c r="G9" s="84"/>
      <c r="H9" s="84">
        <v>1831914</v>
      </c>
      <c r="I9" s="84">
        <v>4850858</v>
      </c>
      <c r="J9" s="84"/>
      <c r="K9" s="84"/>
      <c r="L9" s="84">
        <v>172374</v>
      </c>
      <c r="M9" s="84">
        <v>660755</v>
      </c>
      <c r="N9" s="84"/>
      <c r="O9" s="84"/>
      <c r="P9" s="84">
        <v>30640</v>
      </c>
      <c r="Q9" s="84">
        <v>67093</v>
      </c>
      <c r="R9" s="84"/>
      <c r="S9" s="84"/>
      <c r="T9" s="84"/>
      <c r="U9" s="84"/>
      <c r="V9" s="84">
        <v>1534264</v>
      </c>
      <c r="W9" s="84">
        <v>6430852</v>
      </c>
      <c r="X9" s="84">
        <v>718248</v>
      </c>
      <c r="Y9" s="84">
        <v>9292600</v>
      </c>
      <c r="Z9" s="84">
        <v>340897</v>
      </c>
      <c r="AA9" s="84">
        <v>1641649</v>
      </c>
      <c r="AB9" s="84">
        <v>21067</v>
      </c>
      <c r="AC9" s="84">
        <v>199947</v>
      </c>
      <c r="AD9" s="84">
        <v>83196</v>
      </c>
      <c r="AE9" s="84">
        <v>362520</v>
      </c>
      <c r="AF9" s="84">
        <v>-246359</v>
      </c>
      <c r="AG9" s="84">
        <v>542861</v>
      </c>
      <c r="AH9" s="84"/>
      <c r="AI9" s="84"/>
      <c r="AJ9" s="84"/>
      <c r="AK9" s="84"/>
      <c r="AL9" s="84"/>
      <c r="AM9" s="84"/>
      <c r="AN9" s="84">
        <v>45</v>
      </c>
      <c r="AO9" s="84">
        <v>13578</v>
      </c>
      <c r="AP9" s="84">
        <v>-2061</v>
      </c>
      <c r="AQ9" s="84">
        <v>14846</v>
      </c>
      <c r="AR9" s="84"/>
      <c r="AS9" s="84"/>
      <c r="AT9" s="84"/>
      <c r="AU9" s="84"/>
      <c r="AV9" s="84">
        <v>172623</v>
      </c>
      <c r="AW9" s="84">
        <v>915299</v>
      </c>
      <c r="AX9" s="84"/>
      <c r="AY9" s="84"/>
      <c r="AZ9" s="84"/>
      <c r="BA9" s="84"/>
      <c r="BB9" s="84"/>
      <c r="BC9" s="84"/>
      <c r="BD9" s="103">
        <v>899475</v>
      </c>
      <c r="BE9" s="103">
        <v>3335117</v>
      </c>
      <c r="BF9" s="84">
        <v>6598877</v>
      </c>
      <c r="BG9" s="84">
        <v>24657892</v>
      </c>
      <c r="BH9" s="103">
        <v>1259473</v>
      </c>
      <c r="BI9" s="103">
        <v>8461598</v>
      </c>
      <c r="BJ9" s="103">
        <v>1690544</v>
      </c>
      <c r="BK9" s="103">
        <v>9919245</v>
      </c>
      <c r="BL9" s="103">
        <v>5685</v>
      </c>
      <c r="BM9" s="103">
        <v>659421</v>
      </c>
      <c r="BN9" s="73">
        <f t="shared" si="0"/>
        <v>15110902</v>
      </c>
      <c r="BO9" s="73">
        <f t="shared" si="1"/>
        <v>72026131</v>
      </c>
    </row>
    <row r="10" spans="1:67" x14ac:dyDescent="0.25">
      <c r="A10" s="21" t="s">
        <v>276</v>
      </c>
      <c r="B10" s="84"/>
      <c r="C10" s="84"/>
      <c r="D10" s="84"/>
      <c r="E10" s="84"/>
      <c r="F10" s="84"/>
      <c r="G10" s="84"/>
      <c r="H10" s="84">
        <v>19700</v>
      </c>
      <c r="I10" s="84">
        <v>185026</v>
      </c>
      <c r="J10" s="84">
        <v>10164</v>
      </c>
      <c r="K10" s="84">
        <v>109933</v>
      </c>
      <c r="L10" s="84"/>
      <c r="M10" s="84">
        <v>740</v>
      </c>
      <c r="N10" s="84"/>
      <c r="O10" s="84"/>
      <c r="P10" s="84">
        <v>1232</v>
      </c>
      <c r="Q10" s="84">
        <v>1494</v>
      </c>
      <c r="R10" s="84">
        <v>35320</v>
      </c>
      <c r="S10" s="84">
        <v>189131</v>
      </c>
      <c r="T10" s="84">
        <v>89677</v>
      </c>
      <c r="U10" s="84">
        <v>240153</v>
      </c>
      <c r="V10" s="84">
        <v>126156</v>
      </c>
      <c r="W10" s="84">
        <v>232618</v>
      </c>
      <c r="X10" s="84">
        <v>18298</v>
      </c>
      <c r="Y10" s="84">
        <v>97667</v>
      </c>
      <c r="Z10" s="84">
        <v>1458</v>
      </c>
      <c r="AA10" s="84">
        <v>162499</v>
      </c>
      <c r="AB10" s="84">
        <v>81</v>
      </c>
      <c r="AC10" s="84">
        <v>270</v>
      </c>
      <c r="AD10" s="84">
        <v>0</v>
      </c>
      <c r="AE10" s="84">
        <v>394</v>
      </c>
      <c r="AF10" s="84">
        <v>33475</v>
      </c>
      <c r="AG10" s="84">
        <v>143010</v>
      </c>
      <c r="AH10" s="84"/>
      <c r="AI10" s="84"/>
      <c r="AJ10" s="84"/>
      <c r="AK10" s="84"/>
      <c r="AL10" s="84">
        <v>460229.33599999989</v>
      </c>
      <c r="AM10" s="84">
        <v>1126727.5209999999</v>
      </c>
      <c r="AN10" s="84"/>
      <c r="AO10" s="84">
        <v>38</v>
      </c>
      <c r="AP10" s="84">
        <v>87</v>
      </c>
      <c r="AQ10" s="84">
        <v>106</v>
      </c>
      <c r="AR10" s="84">
        <v>9709</v>
      </c>
      <c r="AS10" s="84">
        <v>144224</v>
      </c>
      <c r="AT10" s="84"/>
      <c r="AU10" s="84"/>
      <c r="AV10" s="84">
        <v>13357</v>
      </c>
      <c r="AW10" s="84">
        <v>99689</v>
      </c>
      <c r="AX10" s="84"/>
      <c r="AY10" s="84">
        <v>14071</v>
      </c>
      <c r="AZ10" s="84"/>
      <c r="BA10" s="84">
        <v>418</v>
      </c>
      <c r="BB10" s="84"/>
      <c r="BC10" s="84"/>
      <c r="BD10" s="103">
        <v>137827</v>
      </c>
      <c r="BE10" s="103">
        <v>355978</v>
      </c>
      <c r="BF10" s="84">
        <v>2115639</v>
      </c>
      <c r="BG10" s="84">
        <v>10068418</v>
      </c>
      <c r="BH10" s="103">
        <v>379040</v>
      </c>
      <c r="BI10" s="103">
        <v>511720</v>
      </c>
      <c r="BJ10" s="103">
        <v>81711</v>
      </c>
      <c r="BK10" s="103">
        <v>5632</v>
      </c>
      <c r="BL10" s="103"/>
      <c r="BM10" s="103">
        <v>190</v>
      </c>
      <c r="BN10" s="73">
        <f t="shared" si="0"/>
        <v>3533160.3360000001</v>
      </c>
      <c r="BO10" s="73">
        <f t="shared" si="1"/>
        <v>13690146.521</v>
      </c>
    </row>
    <row r="11" spans="1:67" x14ac:dyDescent="0.25">
      <c r="A11" s="21" t="s">
        <v>277</v>
      </c>
      <c r="B11" s="84"/>
      <c r="C11" s="84"/>
      <c r="D11" s="84"/>
      <c r="E11" s="84"/>
      <c r="F11" s="84"/>
      <c r="G11" s="84"/>
      <c r="H11" s="84">
        <v>716759</v>
      </c>
      <c r="I11" s="84">
        <v>2544872</v>
      </c>
      <c r="J11" s="84">
        <v>387930</v>
      </c>
      <c r="K11" s="84">
        <v>840633</v>
      </c>
      <c r="L11" s="84">
        <v>118474</v>
      </c>
      <c r="M11" s="84">
        <v>244915</v>
      </c>
      <c r="N11" s="84"/>
      <c r="O11" s="84"/>
      <c r="P11" s="84">
        <v>25348</v>
      </c>
      <c r="Q11" s="84">
        <v>44740</v>
      </c>
      <c r="R11" s="84">
        <v>273642</v>
      </c>
      <c r="S11" s="84">
        <v>851464</v>
      </c>
      <c r="T11" s="84">
        <v>188975</v>
      </c>
      <c r="U11" s="84">
        <v>349213</v>
      </c>
      <c r="V11" s="84">
        <v>-807970</v>
      </c>
      <c r="W11" s="84">
        <v>-2930443</v>
      </c>
      <c r="X11" s="84">
        <v>1371668</v>
      </c>
      <c r="Y11" s="84">
        <v>4786031</v>
      </c>
      <c r="Z11" s="84">
        <v>279689</v>
      </c>
      <c r="AA11" s="84">
        <v>1285456</v>
      </c>
      <c r="AB11" s="84">
        <v>6884</v>
      </c>
      <c r="AC11" s="84">
        <v>152607</v>
      </c>
      <c r="AD11" s="84">
        <v>36536</v>
      </c>
      <c r="AE11" s="84">
        <v>210819</v>
      </c>
      <c r="AF11" s="84">
        <v>-96632</v>
      </c>
      <c r="AG11" s="84">
        <v>-335471</v>
      </c>
      <c r="AH11" s="84"/>
      <c r="AI11" s="84"/>
      <c r="AJ11" s="84"/>
      <c r="AK11" s="84"/>
      <c r="AL11" s="84">
        <v>1314390.3229999999</v>
      </c>
      <c r="AM11" s="84">
        <v>2248080.892</v>
      </c>
      <c r="AN11" s="84">
        <v>-305</v>
      </c>
      <c r="AO11" s="84">
        <v>-733</v>
      </c>
      <c r="AP11" s="84">
        <v>2381</v>
      </c>
      <c r="AQ11" s="84">
        <v>5214</v>
      </c>
      <c r="AR11" s="84">
        <v>457326</v>
      </c>
      <c r="AS11" s="84">
        <v>2082600</v>
      </c>
      <c r="AT11" s="84"/>
      <c r="AU11" s="84"/>
      <c r="AV11" s="84">
        <v>-138235</v>
      </c>
      <c r="AW11" s="84">
        <v>-687094</v>
      </c>
      <c r="AX11" s="84">
        <v>557420</v>
      </c>
      <c r="AY11" s="84">
        <v>1760267</v>
      </c>
      <c r="AZ11" s="84">
        <v>14623</v>
      </c>
      <c r="BA11" s="84">
        <v>38871</v>
      </c>
      <c r="BB11" s="84"/>
      <c r="BC11" s="84"/>
      <c r="BD11" s="103">
        <v>924632</v>
      </c>
      <c r="BE11" s="103">
        <v>2728562</v>
      </c>
      <c r="BF11" s="84">
        <v>5040662</v>
      </c>
      <c r="BG11" s="84">
        <v>12628324</v>
      </c>
      <c r="BH11" s="103">
        <v>1439977</v>
      </c>
      <c r="BI11" s="103">
        <v>5026377</v>
      </c>
      <c r="BJ11" s="103">
        <v>984764</v>
      </c>
      <c r="BK11" s="103">
        <v>4753609</v>
      </c>
      <c r="BL11" s="103">
        <v>25149</v>
      </c>
      <c r="BM11" s="103">
        <v>336556</v>
      </c>
      <c r="BN11" s="73">
        <f t="shared" si="0"/>
        <v>13124087.322999999</v>
      </c>
      <c r="BO11" s="73">
        <f t="shared" si="1"/>
        <v>38965469.892000005</v>
      </c>
    </row>
    <row r="12" spans="1:67" x14ac:dyDescent="0.25">
      <c r="A12" s="21" t="s">
        <v>273</v>
      </c>
      <c r="B12" s="84">
        <v>40</v>
      </c>
      <c r="C12" s="84">
        <v>47</v>
      </c>
      <c r="D12" s="84"/>
      <c r="E12" s="84"/>
      <c r="F12" s="84"/>
      <c r="G12" s="84"/>
      <c r="H12" s="84">
        <v>110127</v>
      </c>
      <c r="I12" s="84">
        <v>1466284</v>
      </c>
      <c r="J12" s="84">
        <v>137608</v>
      </c>
      <c r="K12" s="84">
        <v>425560</v>
      </c>
      <c r="L12" s="84">
        <v>53900</v>
      </c>
      <c r="M12" s="84">
        <v>416580</v>
      </c>
      <c r="N12" s="84"/>
      <c r="O12" s="84"/>
      <c r="P12" s="84">
        <v>6524</v>
      </c>
      <c r="Q12" s="84">
        <v>23847</v>
      </c>
      <c r="R12" s="84">
        <v>159822</v>
      </c>
      <c r="S12" s="84">
        <v>782389</v>
      </c>
      <c r="T12" s="84">
        <v>52836</v>
      </c>
      <c r="U12" s="84">
        <v>217517</v>
      </c>
      <c r="V12" s="84">
        <v>478048</v>
      </c>
      <c r="W12" s="84">
        <v>1795580</v>
      </c>
      <c r="X12" s="84">
        <v>441348</v>
      </c>
      <c r="Y12" s="84">
        <v>3067922</v>
      </c>
      <c r="Z12" s="84">
        <v>62666</v>
      </c>
      <c r="AA12" s="84">
        <v>518692</v>
      </c>
      <c r="AB12" s="84">
        <v>14264</v>
      </c>
      <c r="AC12" s="84">
        <v>47610</v>
      </c>
      <c r="AD12" s="84">
        <v>19826</v>
      </c>
      <c r="AE12" s="84">
        <v>120660</v>
      </c>
      <c r="AF12" s="84">
        <v>34319</v>
      </c>
      <c r="AG12" s="84">
        <v>190699</v>
      </c>
      <c r="AH12" s="84"/>
      <c r="AI12" s="84"/>
      <c r="AJ12" s="84"/>
      <c r="AK12" s="84"/>
      <c r="AL12" s="84">
        <v>1201755.6979999989</v>
      </c>
      <c r="AM12" s="84">
        <v>5576493.7290000021</v>
      </c>
      <c r="AN12" s="84">
        <v>1272</v>
      </c>
      <c r="AO12" s="84">
        <v>9606</v>
      </c>
      <c r="AP12" s="84">
        <v>-4354</v>
      </c>
      <c r="AQ12" s="84">
        <v>9738</v>
      </c>
      <c r="AR12" s="84">
        <v>345465</v>
      </c>
      <c r="AS12" s="84">
        <v>1362930</v>
      </c>
      <c r="AT12" s="84"/>
      <c r="AU12" s="84"/>
      <c r="AV12" s="84">
        <v>87970</v>
      </c>
      <c r="AW12" s="84">
        <v>333148</v>
      </c>
      <c r="AX12" s="84">
        <v>270389</v>
      </c>
      <c r="AY12" s="84">
        <v>1506406</v>
      </c>
      <c r="AZ12" s="84">
        <v>-2706</v>
      </c>
      <c r="BA12" s="84">
        <v>87222</v>
      </c>
      <c r="BB12" s="84"/>
      <c r="BC12" s="84"/>
      <c r="BD12" s="103">
        <v>112670</v>
      </c>
      <c r="BE12" s="103">
        <v>962533</v>
      </c>
      <c r="BF12" s="84">
        <v>5792476</v>
      </c>
      <c r="BG12" s="84">
        <v>22337324</v>
      </c>
      <c r="BH12" s="103">
        <v>198536</v>
      </c>
      <c r="BI12" s="103">
        <v>3946941</v>
      </c>
      <c r="BJ12" s="103">
        <v>787491</v>
      </c>
      <c r="BK12" s="103">
        <v>5171268</v>
      </c>
      <c r="BL12" s="103">
        <v>-19464</v>
      </c>
      <c r="BM12" s="103">
        <v>323055</v>
      </c>
      <c r="BN12" s="73">
        <f t="shared" si="0"/>
        <v>10342828.697999999</v>
      </c>
      <c r="BO12" s="73">
        <f t="shared" si="1"/>
        <v>50700051.729000002</v>
      </c>
    </row>
    <row r="13" spans="1:67" x14ac:dyDescent="0.25">
      <c r="A13" s="13"/>
    </row>
    <row r="14" spans="1:67" x14ac:dyDescent="0.25">
      <c r="A14" s="28" t="s">
        <v>217</v>
      </c>
    </row>
    <row r="15" spans="1:67" x14ac:dyDescent="0.25">
      <c r="A15" s="3" t="s">
        <v>0</v>
      </c>
      <c r="B15" s="119" t="s">
        <v>1</v>
      </c>
      <c r="C15" s="120"/>
      <c r="D15" s="119" t="s">
        <v>282</v>
      </c>
      <c r="E15" s="120"/>
      <c r="F15" s="119" t="s">
        <v>2</v>
      </c>
      <c r="G15" s="120"/>
      <c r="H15" s="119" t="s">
        <v>3</v>
      </c>
      <c r="I15" s="120"/>
      <c r="J15" s="119" t="s">
        <v>4</v>
      </c>
      <c r="K15" s="120"/>
      <c r="L15" s="119" t="s">
        <v>283</v>
      </c>
      <c r="M15" s="120"/>
      <c r="N15" s="119" t="s">
        <v>6</v>
      </c>
      <c r="O15" s="120"/>
      <c r="P15" s="119" t="s">
        <v>5</v>
      </c>
      <c r="Q15" s="120"/>
      <c r="R15" s="119" t="s">
        <v>7</v>
      </c>
      <c r="S15" s="120"/>
      <c r="T15" s="119" t="s">
        <v>284</v>
      </c>
      <c r="U15" s="120"/>
      <c r="V15" s="119" t="s">
        <v>8</v>
      </c>
      <c r="W15" s="120"/>
      <c r="X15" s="119" t="s">
        <v>9</v>
      </c>
      <c r="Y15" s="120"/>
      <c r="Z15" s="119" t="s">
        <v>10</v>
      </c>
      <c r="AA15" s="120"/>
      <c r="AB15" s="119" t="s">
        <v>293</v>
      </c>
      <c r="AC15" s="120"/>
      <c r="AD15" s="119" t="s">
        <v>11</v>
      </c>
      <c r="AE15" s="120"/>
      <c r="AF15" s="119" t="s">
        <v>12</v>
      </c>
      <c r="AG15" s="120"/>
      <c r="AH15" s="119" t="s">
        <v>285</v>
      </c>
      <c r="AI15" s="120"/>
      <c r="AJ15" s="119" t="s">
        <v>290</v>
      </c>
      <c r="AK15" s="120"/>
      <c r="AL15" s="119" t="s">
        <v>13</v>
      </c>
      <c r="AM15" s="120"/>
      <c r="AN15" s="119" t="s">
        <v>286</v>
      </c>
      <c r="AO15" s="120"/>
      <c r="AP15" s="119" t="s">
        <v>287</v>
      </c>
      <c r="AQ15" s="120"/>
      <c r="AR15" s="119" t="s">
        <v>291</v>
      </c>
      <c r="AS15" s="120"/>
      <c r="AT15" s="119" t="s">
        <v>294</v>
      </c>
      <c r="AU15" s="120"/>
      <c r="AV15" s="119" t="s">
        <v>14</v>
      </c>
      <c r="AW15" s="120"/>
      <c r="AX15" s="119" t="s">
        <v>15</v>
      </c>
      <c r="AY15" s="120"/>
      <c r="AZ15" s="119" t="s">
        <v>16</v>
      </c>
      <c r="BA15" s="120"/>
      <c r="BB15" s="119" t="s">
        <v>17</v>
      </c>
      <c r="BC15" s="120"/>
      <c r="BD15" s="119" t="s">
        <v>18</v>
      </c>
      <c r="BE15" s="120"/>
      <c r="BF15" s="119" t="s">
        <v>288</v>
      </c>
      <c r="BG15" s="120"/>
      <c r="BH15" s="119" t="s">
        <v>289</v>
      </c>
      <c r="BI15" s="120"/>
      <c r="BJ15" s="119" t="s">
        <v>19</v>
      </c>
      <c r="BK15" s="120"/>
      <c r="BL15" s="119" t="s">
        <v>20</v>
      </c>
      <c r="BM15" s="120"/>
      <c r="BN15" s="121" t="s">
        <v>21</v>
      </c>
      <c r="BO15" s="122"/>
    </row>
    <row r="16" spans="1:67" ht="30" x14ac:dyDescent="0.25">
      <c r="A16" s="3"/>
      <c r="B16" s="57" t="s">
        <v>296</v>
      </c>
      <c r="C16" s="58" t="s">
        <v>297</v>
      </c>
      <c r="D16" s="57" t="s">
        <v>296</v>
      </c>
      <c r="E16" s="58" t="s">
        <v>297</v>
      </c>
      <c r="F16" s="57" t="s">
        <v>296</v>
      </c>
      <c r="G16" s="58" t="s">
        <v>297</v>
      </c>
      <c r="H16" s="57" t="s">
        <v>296</v>
      </c>
      <c r="I16" s="58" t="s">
        <v>297</v>
      </c>
      <c r="J16" s="57" t="s">
        <v>296</v>
      </c>
      <c r="K16" s="58" t="s">
        <v>297</v>
      </c>
      <c r="L16" s="57" t="s">
        <v>296</v>
      </c>
      <c r="M16" s="58" t="s">
        <v>297</v>
      </c>
      <c r="N16" s="57" t="s">
        <v>296</v>
      </c>
      <c r="O16" s="58" t="s">
        <v>297</v>
      </c>
      <c r="P16" s="57" t="s">
        <v>296</v>
      </c>
      <c r="Q16" s="58" t="s">
        <v>297</v>
      </c>
      <c r="R16" s="57" t="s">
        <v>296</v>
      </c>
      <c r="S16" s="58" t="s">
        <v>297</v>
      </c>
      <c r="T16" s="57" t="s">
        <v>296</v>
      </c>
      <c r="U16" s="58" t="s">
        <v>297</v>
      </c>
      <c r="V16" s="57" t="s">
        <v>296</v>
      </c>
      <c r="W16" s="58" t="s">
        <v>297</v>
      </c>
      <c r="X16" s="57" t="s">
        <v>296</v>
      </c>
      <c r="Y16" s="58" t="s">
        <v>297</v>
      </c>
      <c r="Z16" s="57" t="s">
        <v>296</v>
      </c>
      <c r="AA16" s="58" t="s">
        <v>297</v>
      </c>
      <c r="AB16" s="57" t="s">
        <v>296</v>
      </c>
      <c r="AC16" s="58" t="s">
        <v>297</v>
      </c>
      <c r="AD16" s="57" t="s">
        <v>296</v>
      </c>
      <c r="AE16" s="58" t="s">
        <v>297</v>
      </c>
      <c r="AF16" s="57" t="s">
        <v>296</v>
      </c>
      <c r="AG16" s="58" t="s">
        <v>297</v>
      </c>
      <c r="AH16" s="57" t="s">
        <v>296</v>
      </c>
      <c r="AI16" s="58" t="s">
        <v>297</v>
      </c>
      <c r="AJ16" s="57" t="s">
        <v>296</v>
      </c>
      <c r="AK16" s="58" t="s">
        <v>297</v>
      </c>
      <c r="AL16" s="57" t="s">
        <v>296</v>
      </c>
      <c r="AM16" s="58" t="s">
        <v>297</v>
      </c>
      <c r="AN16" s="57" t="s">
        <v>296</v>
      </c>
      <c r="AO16" s="58" t="s">
        <v>297</v>
      </c>
      <c r="AP16" s="57" t="s">
        <v>296</v>
      </c>
      <c r="AQ16" s="58" t="s">
        <v>297</v>
      </c>
      <c r="AR16" s="57" t="s">
        <v>296</v>
      </c>
      <c r="AS16" s="58" t="s">
        <v>297</v>
      </c>
      <c r="AT16" s="57" t="s">
        <v>296</v>
      </c>
      <c r="AU16" s="58" t="s">
        <v>297</v>
      </c>
      <c r="AV16" s="57" t="s">
        <v>296</v>
      </c>
      <c r="AW16" s="58" t="s">
        <v>297</v>
      </c>
      <c r="AX16" s="57" t="s">
        <v>296</v>
      </c>
      <c r="AY16" s="58" t="s">
        <v>297</v>
      </c>
      <c r="AZ16" s="57" t="s">
        <v>296</v>
      </c>
      <c r="BA16" s="58" t="s">
        <v>297</v>
      </c>
      <c r="BB16" s="57" t="s">
        <v>296</v>
      </c>
      <c r="BC16" s="58" t="s">
        <v>297</v>
      </c>
      <c r="BD16" s="57" t="s">
        <v>296</v>
      </c>
      <c r="BE16" s="58" t="s">
        <v>297</v>
      </c>
      <c r="BF16" s="57" t="s">
        <v>296</v>
      </c>
      <c r="BG16" s="58" t="s">
        <v>297</v>
      </c>
      <c r="BH16" s="57" t="s">
        <v>296</v>
      </c>
      <c r="BI16" s="58" t="s">
        <v>297</v>
      </c>
      <c r="BJ16" s="57" t="s">
        <v>296</v>
      </c>
      <c r="BK16" s="58" t="s">
        <v>297</v>
      </c>
      <c r="BL16" s="57" t="s">
        <v>296</v>
      </c>
      <c r="BM16" s="58" t="s">
        <v>297</v>
      </c>
      <c r="BN16" s="57" t="s">
        <v>296</v>
      </c>
      <c r="BO16" s="58" t="s">
        <v>297</v>
      </c>
    </row>
    <row r="17" spans="1:67" x14ac:dyDescent="0.25">
      <c r="A17" s="21" t="s">
        <v>228</v>
      </c>
      <c r="B17" s="84"/>
      <c r="C17" s="84"/>
      <c r="D17" s="84"/>
      <c r="E17" s="84"/>
      <c r="F17" s="84"/>
      <c r="G17" s="84"/>
      <c r="H17" s="84">
        <v>306507</v>
      </c>
      <c r="I17" s="84">
        <v>1077494</v>
      </c>
      <c r="J17" s="84">
        <v>160366</v>
      </c>
      <c r="K17" s="84">
        <v>450073</v>
      </c>
      <c r="L17" s="84">
        <v>221254</v>
      </c>
      <c r="M17" s="84">
        <v>548056</v>
      </c>
      <c r="N17" s="84"/>
      <c r="O17" s="84"/>
      <c r="P17" s="84">
        <v>11664</v>
      </c>
      <c r="Q17" s="84">
        <v>21332</v>
      </c>
      <c r="R17" s="84">
        <v>115340</v>
      </c>
      <c r="S17" s="84">
        <v>370057</v>
      </c>
      <c r="T17" s="84">
        <v>3698</v>
      </c>
      <c r="U17" s="84">
        <v>7620</v>
      </c>
      <c r="V17" s="84">
        <f>20984+868337</f>
        <v>889321</v>
      </c>
      <c r="W17" s="84">
        <f>35109+1807831</f>
        <v>1842940</v>
      </c>
      <c r="X17" s="84">
        <v>785127</v>
      </c>
      <c r="Y17" s="84">
        <v>2888320</v>
      </c>
      <c r="Z17" s="84">
        <v>435161</v>
      </c>
      <c r="AA17" s="84">
        <v>634196</v>
      </c>
      <c r="AB17" s="84"/>
      <c r="AC17" s="84"/>
      <c r="AD17" s="84">
        <v>68488</v>
      </c>
      <c r="AE17" s="84">
        <v>189894</v>
      </c>
      <c r="AF17" s="84">
        <v>43221</v>
      </c>
      <c r="AG17" s="84">
        <v>137601</v>
      </c>
      <c r="AH17" s="84"/>
      <c r="AI17" s="84"/>
      <c r="AJ17" s="84"/>
      <c r="AK17" s="84"/>
      <c r="AL17" s="84">
        <v>379916.42799999996</v>
      </c>
      <c r="AM17" s="84">
        <v>981864.36100000003</v>
      </c>
      <c r="AN17" s="84"/>
      <c r="AO17" s="84"/>
      <c r="AP17" s="84"/>
      <c r="AQ17" s="84"/>
      <c r="AR17" s="84">
        <v>208427</v>
      </c>
      <c r="AS17" s="84">
        <v>663173</v>
      </c>
      <c r="AT17" s="84"/>
      <c r="AU17" s="84"/>
      <c r="AV17" s="84">
        <v>72775</v>
      </c>
      <c r="AW17" s="84">
        <v>221153</v>
      </c>
      <c r="AX17" s="84">
        <v>87962</v>
      </c>
      <c r="AY17" s="84">
        <v>197635</v>
      </c>
      <c r="AZ17" s="84">
        <v>-78</v>
      </c>
      <c r="BA17" s="84">
        <v>2628</v>
      </c>
      <c r="BB17" s="84"/>
      <c r="BC17" s="84"/>
      <c r="BD17" s="103">
        <v>882736</v>
      </c>
      <c r="BE17" s="103">
        <v>2181527</v>
      </c>
      <c r="BF17" s="84">
        <v>1603385</v>
      </c>
      <c r="BG17" s="84">
        <v>4137933</v>
      </c>
      <c r="BH17" s="103">
        <v>717484</v>
      </c>
      <c r="BI17" s="103">
        <v>2036573</v>
      </c>
      <c r="BJ17" s="103">
        <v>1284855</v>
      </c>
      <c r="BK17" s="103">
        <v>2443359</v>
      </c>
      <c r="BL17" s="103">
        <v>25915</v>
      </c>
      <c r="BM17" s="103">
        <v>77926</v>
      </c>
      <c r="BN17" s="73">
        <f t="shared" ref="BN17:BN23" si="2">SUM(B17+D17+F17+H17+J17+L17+N17+P17+R17+T17+V17+X17+Z17+AB17+AD17+AF17+AH17+AJ17+AL17+AN17+AP17+AR17+AT17+AV17+AX17+AZ17+BB17+BD17+BF17+BH17+BJ17+BL17)</f>
        <v>8303524.4279999994</v>
      </c>
      <c r="BO17" s="73">
        <f t="shared" ref="BO17:BO23" si="3">SUM(C17+E17+G17+I17+K17+M17+O17+Q17+S17+U17+W17+Y17+AA17+AC17+AE17+AG17+AI17+AK17+AM17+AO17+AQ17+AS17+AU17+AW17+AY17+BA17+BC17+BE17+BG17+BI17+BK17+BM17)</f>
        <v>21111354.361000001</v>
      </c>
    </row>
    <row r="18" spans="1:67" x14ac:dyDescent="0.25">
      <c r="A18" s="21" t="s">
        <v>279</v>
      </c>
      <c r="B18" s="84"/>
      <c r="C18" s="84"/>
      <c r="D18" s="84"/>
      <c r="E18" s="84"/>
      <c r="F18" s="84"/>
      <c r="G18" s="84"/>
      <c r="H18" s="84">
        <v>-162254</v>
      </c>
      <c r="I18" s="84">
        <v>1638591</v>
      </c>
      <c r="J18" s="84">
        <v>-35452</v>
      </c>
      <c r="K18" s="84">
        <v>412121</v>
      </c>
      <c r="L18" s="84">
        <v>100467</v>
      </c>
      <c r="M18" s="84">
        <v>100467</v>
      </c>
      <c r="N18" s="84"/>
      <c r="O18" s="84"/>
      <c r="P18" s="84">
        <v>25589</v>
      </c>
      <c r="Q18" s="84">
        <v>25589</v>
      </c>
      <c r="R18" s="84">
        <v>404461</v>
      </c>
      <c r="S18" s="84">
        <v>404461</v>
      </c>
      <c r="T18" s="84">
        <v>6646</v>
      </c>
      <c r="U18" s="84">
        <v>6646</v>
      </c>
      <c r="V18" s="84">
        <f>1051719+2436371</f>
        <v>3488090</v>
      </c>
      <c r="W18" s="84">
        <f>1051719+2436371</f>
        <v>3488090</v>
      </c>
      <c r="X18" s="84">
        <v>8094105</v>
      </c>
      <c r="Y18" s="84">
        <v>8094105</v>
      </c>
      <c r="Z18" s="84">
        <v>-91975</v>
      </c>
      <c r="AA18" s="84">
        <v>412669</v>
      </c>
      <c r="AB18" s="84">
        <v>14</v>
      </c>
      <c r="AC18" s="84">
        <v>14</v>
      </c>
      <c r="AD18" s="84">
        <v>112742</v>
      </c>
      <c r="AE18" s="84">
        <v>112742</v>
      </c>
      <c r="AF18" s="84">
        <v>457843</v>
      </c>
      <c r="AG18" s="84">
        <v>457843</v>
      </c>
      <c r="AH18" s="84"/>
      <c r="AI18" s="84"/>
      <c r="AJ18" s="84"/>
      <c r="AK18" s="84"/>
      <c r="AL18" s="84">
        <v>-319416</v>
      </c>
      <c r="AM18" s="84">
        <v>2035735.7189999998</v>
      </c>
      <c r="AN18" s="84"/>
      <c r="AO18" s="84"/>
      <c r="AP18" s="84">
        <v>-707</v>
      </c>
      <c r="AQ18" s="84">
        <v>679</v>
      </c>
      <c r="AR18" s="84">
        <v>254590</v>
      </c>
      <c r="AS18" s="84">
        <v>254590</v>
      </c>
      <c r="AT18" s="84"/>
      <c r="AU18" s="84"/>
      <c r="AV18" s="84"/>
      <c r="AW18" s="84">
        <v>382933</v>
      </c>
      <c r="AX18" s="84">
        <v>285605</v>
      </c>
      <c r="AY18" s="84">
        <v>285605</v>
      </c>
      <c r="AZ18" s="84">
        <v>8690</v>
      </c>
      <c r="BA18" s="84">
        <v>8690</v>
      </c>
      <c r="BB18" s="84"/>
      <c r="BC18" s="84"/>
      <c r="BD18" s="103">
        <v>2061419</v>
      </c>
      <c r="BE18" s="103">
        <v>2061419</v>
      </c>
      <c r="BF18" s="84">
        <v>9349141</v>
      </c>
      <c r="BG18" s="84">
        <v>9349141</v>
      </c>
      <c r="BH18" s="103">
        <v>-207184</v>
      </c>
      <c r="BI18" s="103">
        <v>6362730</v>
      </c>
      <c r="BJ18" s="103">
        <v>8581367</v>
      </c>
      <c r="BK18" s="103">
        <v>8581367</v>
      </c>
      <c r="BL18" s="103">
        <f>-2612+12346</f>
        <v>9734</v>
      </c>
      <c r="BM18" s="103">
        <f>460+37871</f>
        <v>38331</v>
      </c>
      <c r="BN18" s="73">
        <f t="shared" si="2"/>
        <v>32423515</v>
      </c>
      <c r="BO18" s="73">
        <f t="shared" si="3"/>
        <v>44514558.718999997</v>
      </c>
    </row>
    <row r="19" spans="1:67" x14ac:dyDescent="0.25">
      <c r="A19" s="21" t="s">
        <v>278</v>
      </c>
      <c r="B19" s="84"/>
      <c r="C19" s="84"/>
      <c r="D19" s="84"/>
      <c r="E19" s="84"/>
      <c r="F19" s="84"/>
      <c r="G19" s="84"/>
      <c r="H19" s="84">
        <v>-45525</v>
      </c>
      <c r="I19" s="84">
        <v>1809633</v>
      </c>
      <c r="J19" s="84"/>
      <c r="K19" s="84">
        <v>419719</v>
      </c>
      <c r="L19" s="84">
        <v>107198</v>
      </c>
      <c r="M19" s="84">
        <v>64986</v>
      </c>
      <c r="N19" s="84"/>
      <c r="O19" s="84"/>
      <c r="P19" s="84">
        <v>18348</v>
      </c>
      <c r="Q19" s="84">
        <v>6162</v>
      </c>
      <c r="R19" s="84">
        <v>393490</v>
      </c>
      <c r="S19" s="84">
        <v>340696</v>
      </c>
      <c r="T19" s="84">
        <v>5074</v>
      </c>
      <c r="U19" s="84">
        <v>271</v>
      </c>
      <c r="V19" s="84">
        <f>-1065104-3031339</f>
        <v>-4096443</v>
      </c>
      <c r="W19" s="84">
        <f>-1274444-1093378</f>
        <v>-2367822</v>
      </c>
      <c r="X19" s="84">
        <v>10182388</v>
      </c>
      <c r="Y19" s="84">
        <v>5899044</v>
      </c>
      <c r="Z19" s="84"/>
      <c r="AA19" s="84">
        <v>584103</v>
      </c>
      <c r="AB19" s="84"/>
      <c r="AC19" s="84"/>
      <c r="AD19" s="84">
        <v>131551</v>
      </c>
      <c r="AE19" s="84">
        <v>142203</v>
      </c>
      <c r="AF19" s="84">
        <v>-478961</v>
      </c>
      <c r="AG19" s="84">
        <v>-484869</v>
      </c>
      <c r="AH19" s="84"/>
      <c r="AI19" s="84"/>
      <c r="AJ19" s="84"/>
      <c r="AK19" s="84"/>
      <c r="AL19" s="84"/>
      <c r="AM19" s="84">
        <v>1907749.3829999997</v>
      </c>
      <c r="AN19" s="84"/>
      <c r="AO19" s="84"/>
      <c r="AP19" s="84"/>
      <c r="AQ19" s="84">
        <v>168</v>
      </c>
      <c r="AR19" s="84">
        <v>254677</v>
      </c>
      <c r="AS19" s="84">
        <v>199656</v>
      </c>
      <c r="AT19" s="84"/>
      <c r="AU19" s="84"/>
      <c r="AV19" s="84"/>
      <c r="AW19" s="84">
        <v>-419333</v>
      </c>
      <c r="AX19" s="84">
        <v>246235</v>
      </c>
      <c r="AY19" s="84">
        <v>161178</v>
      </c>
      <c r="AZ19" s="84">
        <v>12738</v>
      </c>
      <c r="BA19" s="84">
        <v>13065</v>
      </c>
      <c r="BB19" s="84"/>
      <c r="BC19" s="84"/>
      <c r="BD19" s="103">
        <v>2056044</v>
      </c>
      <c r="BE19" s="103">
        <v>1799545</v>
      </c>
      <c r="BF19" s="84">
        <v>8559566</v>
      </c>
      <c r="BG19" s="84">
        <v>6320172</v>
      </c>
      <c r="BH19" s="103">
        <v>0</v>
      </c>
      <c r="BI19" s="103">
        <v>5839119</v>
      </c>
      <c r="BJ19" s="103">
        <v>8308260</v>
      </c>
      <c r="BK19" s="103">
        <v>5744652</v>
      </c>
      <c r="BL19" s="103"/>
      <c r="BM19" s="103">
        <f>19+23302</f>
        <v>23321</v>
      </c>
      <c r="BN19" s="73">
        <f t="shared" si="2"/>
        <v>25654640</v>
      </c>
      <c r="BO19" s="73">
        <f t="shared" si="3"/>
        <v>28003418.383000001</v>
      </c>
    </row>
    <row r="20" spans="1:67" x14ac:dyDescent="0.25">
      <c r="A20" s="21" t="s">
        <v>281</v>
      </c>
      <c r="B20" s="84"/>
      <c r="C20" s="84"/>
      <c r="D20" s="84"/>
      <c r="E20" s="84"/>
      <c r="F20" s="84"/>
      <c r="G20" s="84"/>
      <c r="H20" s="84">
        <v>58180</v>
      </c>
      <c r="I20" s="84">
        <v>906452</v>
      </c>
      <c r="J20" s="84"/>
      <c r="K20" s="84"/>
      <c r="L20" s="84">
        <v>214523</v>
      </c>
      <c r="M20" s="84">
        <v>583537</v>
      </c>
      <c r="N20" s="84"/>
      <c r="O20" s="84"/>
      <c r="P20" s="84">
        <v>18905</v>
      </c>
      <c r="Q20" s="84">
        <v>40759</v>
      </c>
      <c r="R20" s="84"/>
      <c r="S20" s="84"/>
      <c r="T20" s="84"/>
      <c r="U20" s="84"/>
      <c r="V20" s="84">
        <f>7600+273368</f>
        <v>280968</v>
      </c>
      <c r="W20" s="84">
        <f>-187615+3150823</f>
        <v>2963208</v>
      </c>
      <c r="X20" s="84">
        <v>-1303155</v>
      </c>
      <c r="Y20" s="84">
        <v>5083381</v>
      </c>
      <c r="Z20" s="84">
        <v>343186</v>
      </c>
      <c r="AA20" s="84">
        <v>462762</v>
      </c>
      <c r="AB20" s="84">
        <v>14</v>
      </c>
      <c r="AC20" s="84">
        <v>14</v>
      </c>
      <c r="AD20" s="84">
        <v>49679</v>
      </c>
      <c r="AE20" s="84">
        <v>160433</v>
      </c>
      <c r="AF20" s="84">
        <v>22103</v>
      </c>
      <c r="AG20" s="84">
        <v>110575</v>
      </c>
      <c r="AH20" s="84"/>
      <c r="AI20" s="84"/>
      <c r="AJ20" s="84"/>
      <c r="AK20" s="84"/>
      <c r="AL20" s="84"/>
      <c r="AM20" s="84"/>
      <c r="AN20" s="84"/>
      <c r="AO20" s="84"/>
      <c r="AP20" s="84">
        <v>-707</v>
      </c>
      <c r="AQ20" s="84">
        <v>511</v>
      </c>
      <c r="AR20" s="84"/>
      <c r="AS20" s="84"/>
      <c r="AT20" s="84"/>
      <c r="AU20" s="84"/>
      <c r="AV20" s="84">
        <v>72775</v>
      </c>
      <c r="AW20" s="84">
        <v>184753</v>
      </c>
      <c r="AX20" s="84"/>
      <c r="AY20" s="84"/>
      <c r="AZ20" s="84"/>
      <c r="BA20" s="84"/>
      <c r="BB20" s="84"/>
      <c r="BC20" s="84"/>
      <c r="BD20" s="103">
        <v>888111</v>
      </c>
      <c r="BE20" s="103">
        <v>2443401</v>
      </c>
      <c r="BF20" s="84">
        <v>2392960</v>
      </c>
      <c r="BG20" s="84">
        <v>7166903</v>
      </c>
      <c r="BH20" s="103">
        <v>510300</v>
      </c>
      <c r="BI20" s="103">
        <v>2560184</v>
      </c>
      <c r="BJ20" s="103">
        <v>1557962</v>
      </c>
      <c r="BK20" s="103">
        <v>5280074</v>
      </c>
      <c r="BL20" s="103">
        <f>-2612+38261</f>
        <v>35649</v>
      </c>
      <c r="BM20" s="103">
        <f>387+92495</f>
        <v>92882</v>
      </c>
      <c r="BN20" s="73">
        <f t="shared" si="2"/>
        <v>5141453</v>
      </c>
      <c r="BO20" s="73">
        <f t="shared" si="3"/>
        <v>28039829</v>
      </c>
    </row>
    <row r="21" spans="1:67" x14ac:dyDescent="0.25">
      <c r="A21" s="21" t="s">
        <v>276</v>
      </c>
      <c r="B21" s="84"/>
      <c r="C21" s="84"/>
      <c r="D21" s="84"/>
      <c r="E21" s="84"/>
      <c r="F21" s="84"/>
      <c r="G21" s="84"/>
      <c r="H21" s="84"/>
      <c r="I21" s="84">
        <v>374</v>
      </c>
      <c r="J21" s="84">
        <v>10554</v>
      </c>
      <c r="K21" s="84">
        <v>55107</v>
      </c>
      <c r="L21" s="84"/>
      <c r="M21" s="84"/>
      <c r="N21" s="84"/>
      <c r="O21" s="84"/>
      <c r="P21" s="84">
        <v>25</v>
      </c>
      <c r="Q21" s="84">
        <v>36</v>
      </c>
      <c r="R21" s="84">
        <v>3702</v>
      </c>
      <c r="S21" s="84">
        <v>21956</v>
      </c>
      <c r="T21" s="84"/>
      <c r="U21" s="84"/>
      <c r="V21" s="84">
        <v>20961</v>
      </c>
      <c r="W21" s="84">
        <v>87241</v>
      </c>
      <c r="X21" s="84">
        <v>7826</v>
      </c>
      <c r="Y21" s="84">
        <v>55489</v>
      </c>
      <c r="Z21" s="84">
        <v>5372</v>
      </c>
      <c r="AA21" s="84">
        <v>54949</v>
      </c>
      <c r="AB21" s="84"/>
      <c r="AC21" s="84"/>
      <c r="AD21" s="84"/>
      <c r="AE21" s="84"/>
      <c r="AF21" s="84">
        <v>6469</v>
      </c>
      <c r="AG21" s="84">
        <v>92440</v>
      </c>
      <c r="AH21" s="84"/>
      <c r="AI21" s="84"/>
      <c r="AJ21" s="84"/>
      <c r="AK21" s="84"/>
      <c r="AL21" s="84">
        <v>37118.671999999984</v>
      </c>
      <c r="AM21" s="84">
        <v>173747.73699999999</v>
      </c>
      <c r="AN21" s="84"/>
      <c r="AO21" s="84"/>
      <c r="AP21" s="84"/>
      <c r="AQ21" s="84"/>
      <c r="AR21" s="84">
        <v>1463</v>
      </c>
      <c r="AS21" s="84">
        <v>29005</v>
      </c>
      <c r="AT21" s="84"/>
      <c r="AU21" s="84"/>
      <c r="AV21" s="84">
        <v>37</v>
      </c>
      <c r="AW21" s="84">
        <v>386</v>
      </c>
      <c r="AX21" s="84"/>
      <c r="AY21" s="84"/>
      <c r="AZ21" s="84"/>
      <c r="BA21" s="84"/>
      <c r="BB21" s="84"/>
      <c r="BC21" s="84"/>
      <c r="BD21" s="103">
        <v>37962</v>
      </c>
      <c r="BE21" s="103">
        <v>67383</v>
      </c>
      <c r="BF21" s="84">
        <v>31392</v>
      </c>
      <c r="BG21" s="84">
        <v>375407</v>
      </c>
      <c r="BH21" s="103">
        <v>-12335</v>
      </c>
      <c r="BI21" s="103">
        <v>59634</v>
      </c>
      <c r="BJ21" s="103">
        <v>-5199</v>
      </c>
      <c r="BK21" s="103">
        <v>77395</v>
      </c>
      <c r="BL21" s="103"/>
      <c r="BM21" s="103"/>
      <c r="BN21" s="73">
        <f t="shared" si="2"/>
        <v>145347.67199999999</v>
      </c>
      <c r="BO21" s="73">
        <f t="shared" si="3"/>
        <v>1150549.737</v>
      </c>
    </row>
    <row r="22" spans="1:67" x14ac:dyDescent="0.25">
      <c r="A22" s="21" t="s">
        <v>277</v>
      </c>
      <c r="B22" s="84"/>
      <c r="C22" s="84"/>
      <c r="D22" s="84"/>
      <c r="E22" s="84"/>
      <c r="F22" s="84"/>
      <c r="G22" s="84"/>
      <c r="H22" s="84">
        <v>107160</v>
      </c>
      <c r="I22" s="84">
        <v>419638</v>
      </c>
      <c r="J22" s="84">
        <v>40092</v>
      </c>
      <c r="K22" s="84">
        <v>117759</v>
      </c>
      <c r="L22" s="84">
        <v>155885</v>
      </c>
      <c r="M22" s="84">
        <v>398099</v>
      </c>
      <c r="N22" s="84"/>
      <c r="O22" s="84"/>
      <c r="P22" s="84">
        <v>16548</v>
      </c>
      <c r="Q22" s="84">
        <v>35040</v>
      </c>
      <c r="R22" s="84">
        <v>11238</v>
      </c>
      <c r="S22" s="84">
        <v>36545</v>
      </c>
      <c r="T22" s="84">
        <v>334</v>
      </c>
      <c r="U22" s="84">
        <v>2545</v>
      </c>
      <c r="V22" s="84">
        <f>-20857-613226</f>
        <v>-634083</v>
      </c>
      <c r="W22" s="84">
        <f>-34890-1104887</f>
        <v>-1139777</v>
      </c>
      <c r="X22" s="84">
        <v>156689</v>
      </c>
      <c r="Y22" s="84">
        <v>915082</v>
      </c>
      <c r="Z22" s="84">
        <v>205057</v>
      </c>
      <c r="AA22" s="84">
        <v>3178</v>
      </c>
      <c r="AB22" s="84"/>
      <c r="AC22" s="84"/>
      <c r="AD22" s="84">
        <v>3644</v>
      </c>
      <c r="AE22" s="84">
        <v>10287</v>
      </c>
      <c r="AF22" s="84">
        <v>-47603</v>
      </c>
      <c r="AG22" s="84">
        <v>-207883</v>
      </c>
      <c r="AH22" s="84"/>
      <c r="AI22" s="84"/>
      <c r="AJ22" s="84"/>
      <c r="AK22" s="84"/>
      <c r="AL22" s="84">
        <v>200043.78899999999</v>
      </c>
      <c r="AM22" s="84">
        <v>329208.995</v>
      </c>
      <c r="AN22" s="84"/>
      <c r="AO22" s="84"/>
      <c r="AP22" s="84"/>
      <c r="AQ22" s="84"/>
      <c r="AR22" s="84">
        <v>178878</v>
      </c>
      <c r="AS22" s="84">
        <v>602828</v>
      </c>
      <c r="AT22" s="84"/>
      <c r="AU22" s="84"/>
      <c r="AV22" s="84">
        <v>-37510</v>
      </c>
      <c r="AW22" s="84">
        <v>-113846</v>
      </c>
      <c r="AX22" s="84">
        <v>4467</v>
      </c>
      <c r="AY22" s="84">
        <v>11570</v>
      </c>
      <c r="AZ22" s="84">
        <v>-514</v>
      </c>
      <c r="BA22" s="84">
        <v>303</v>
      </c>
      <c r="BB22" s="84"/>
      <c r="BC22" s="84"/>
      <c r="BD22" s="103">
        <v>104241</v>
      </c>
      <c r="BE22" s="103">
        <v>182606</v>
      </c>
      <c r="BF22" s="84">
        <v>645976</v>
      </c>
      <c r="BG22" s="84">
        <v>1405488</v>
      </c>
      <c r="BH22" s="103">
        <v>465320</v>
      </c>
      <c r="BI22" s="103">
        <v>1057321</v>
      </c>
      <c r="BJ22" s="103">
        <v>1608522</v>
      </c>
      <c r="BK22" s="103">
        <v>4376710</v>
      </c>
      <c r="BL22" s="103">
        <v>18570</v>
      </c>
      <c r="BM22" s="103">
        <v>53553</v>
      </c>
      <c r="BN22" s="73">
        <f t="shared" si="2"/>
        <v>3202954.7889999999</v>
      </c>
      <c r="BO22" s="73">
        <f t="shared" si="3"/>
        <v>8496254.995000001</v>
      </c>
    </row>
    <row r="23" spans="1:67" x14ac:dyDescent="0.25">
      <c r="A23" s="21" t="s">
        <v>273</v>
      </c>
      <c r="B23" s="84"/>
      <c r="C23" s="84"/>
      <c r="D23" s="84"/>
      <c r="E23" s="84"/>
      <c r="F23" s="84"/>
      <c r="G23" s="84"/>
      <c r="H23" s="84">
        <v>167257</v>
      </c>
      <c r="I23" s="84">
        <v>703425</v>
      </c>
      <c r="J23" s="84">
        <v>95375</v>
      </c>
      <c r="K23" s="84">
        <v>379823</v>
      </c>
      <c r="L23" s="84">
        <v>58638</v>
      </c>
      <c r="M23" s="84">
        <v>185438</v>
      </c>
      <c r="N23" s="84"/>
      <c r="O23" s="84"/>
      <c r="P23" s="84">
        <v>2382</v>
      </c>
      <c r="Q23" s="84">
        <v>5755</v>
      </c>
      <c r="R23" s="84">
        <v>118775</v>
      </c>
      <c r="S23" s="84">
        <v>419233</v>
      </c>
      <c r="T23" s="84">
        <v>4937</v>
      </c>
      <c r="U23" s="84">
        <v>11450</v>
      </c>
      <c r="V23" s="84">
        <f>171+228097</f>
        <v>228268</v>
      </c>
      <c r="W23" s="84">
        <f>571+718150</f>
        <v>718721</v>
      </c>
      <c r="X23" s="84">
        <v>670854</v>
      </c>
      <c r="Y23" s="84">
        <v>2168047</v>
      </c>
      <c r="Z23" s="84">
        <v>143501</v>
      </c>
      <c r="AA23" s="84">
        <v>514533</v>
      </c>
      <c r="AB23" s="84">
        <v>14</v>
      </c>
      <c r="AC23" s="84">
        <v>14</v>
      </c>
      <c r="AD23" s="84">
        <v>46458</v>
      </c>
      <c r="AE23" s="84">
        <v>152109</v>
      </c>
      <c r="AF23" s="84">
        <v>13214</v>
      </c>
      <c r="AG23" s="84">
        <v>39345</v>
      </c>
      <c r="AH23" s="84"/>
      <c r="AI23" s="84"/>
      <c r="AJ23" s="84"/>
      <c r="AK23" s="84"/>
      <c r="AL23" s="84">
        <v>-102423.68900000007</v>
      </c>
      <c r="AM23" s="84">
        <v>954390.43900000001</v>
      </c>
      <c r="AN23" s="84"/>
      <c r="AO23" s="84"/>
      <c r="AP23" s="84">
        <v>-707</v>
      </c>
      <c r="AQ23" s="84">
        <v>511</v>
      </c>
      <c r="AR23" s="84">
        <v>30925</v>
      </c>
      <c r="AS23" s="84">
        <v>144284</v>
      </c>
      <c r="AT23" s="84"/>
      <c r="AU23" s="84"/>
      <c r="AV23" s="84">
        <v>29036</v>
      </c>
      <c r="AW23" s="84">
        <v>93790</v>
      </c>
      <c r="AX23" s="84">
        <v>122865</v>
      </c>
      <c r="AY23" s="84">
        <v>310492</v>
      </c>
      <c r="AZ23" s="84">
        <v>-3612</v>
      </c>
      <c r="BA23" s="84">
        <v>-2050</v>
      </c>
      <c r="BB23" s="84"/>
      <c r="BC23" s="84"/>
      <c r="BD23" s="103">
        <v>821832</v>
      </c>
      <c r="BE23" s="103">
        <v>2328178</v>
      </c>
      <c r="BF23" s="84">
        <v>1024818</v>
      </c>
      <c r="BG23" s="84">
        <v>3092676</v>
      </c>
      <c r="BH23" s="103">
        <v>32645</v>
      </c>
      <c r="BI23" s="103">
        <v>1562497</v>
      </c>
      <c r="BJ23" s="103">
        <v>-55759</v>
      </c>
      <c r="BK23" s="103">
        <v>980759</v>
      </c>
      <c r="BL23" s="103">
        <f>-2612+19691</f>
        <v>17079</v>
      </c>
      <c r="BM23" s="103">
        <f>387+38942</f>
        <v>39329</v>
      </c>
      <c r="BN23" s="73">
        <f t="shared" si="2"/>
        <v>3466371.3109999998</v>
      </c>
      <c r="BO23" s="73">
        <f t="shared" si="3"/>
        <v>14802749.438999999</v>
      </c>
    </row>
    <row r="24" spans="1:67" x14ac:dyDescent="0.25">
      <c r="A24" s="13"/>
    </row>
    <row r="25" spans="1:67" x14ac:dyDescent="0.25">
      <c r="A25" s="28" t="s">
        <v>218</v>
      </c>
    </row>
    <row r="26" spans="1:67" x14ac:dyDescent="0.25">
      <c r="A26" s="3" t="s">
        <v>0</v>
      </c>
      <c r="B26" s="119" t="s">
        <v>1</v>
      </c>
      <c r="C26" s="120"/>
      <c r="D26" s="119" t="s">
        <v>282</v>
      </c>
      <c r="E26" s="120"/>
      <c r="F26" s="119" t="s">
        <v>2</v>
      </c>
      <c r="G26" s="120"/>
      <c r="H26" s="119" t="s">
        <v>3</v>
      </c>
      <c r="I26" s="120"/>
      <c r="J26" s="119" t="s">
        <v>4</v>
      </c>
      <c r="K26" s="120"/>
      <c r="L26" s="119" t="s">
        <v>283</v>
      </c>
      <c r="M26" s="120"/>
      <c r="N26" s="119" t="s">
        <v>6</v>
      </c>
      <c r="O26" s="120"/>
      <c r="P26" s="119" t="s">
        <v>5</v>
      </c>
      <c r="Q26" s="120"/>
      <c r="R26" s="119" t="s">
        <v>7</v>
      </c>
      <c r="S26" s="120"/>
      <c r="T26" s="119" t="s">
        <v>284</v>
      </c>
      <c r="U26" s="120"/>
      <c r="V26" s="119" t="s">
        <v>8</v>
      </c>
      <c r="W26" s="120"/>
      <c r="X26" s="119" t="s">
        <v>9</v>
      </c>
      <c r="Y26" s="120"/>
      <c r="Z26" s="119" t="s">
        <v>10</v>
      </c>
      <c r="AA26" s="120"/>
      <c r="AB26" s="119" t="s">
        <v>293</v>
      </c>
      <c r="AC26" s="120"/>
      <c r="AD26" s="119" t="s">
        <v>11</v>
      </c>
      <c r="AE26" s="120"/>
      <c r="AF26" s="119" t="s">
        <v>12</v>
      </c>
      <c r="AG26" s="120"/>
      <c r="AH26" s="119" t="s">
        <v>285</v>
      </c>
      <c r="AI26" s="120"/>
      <c r="AJ26" s="119" t="s">
        <v>290</v>
      </c>
      <c r="AK26" s="120"/>
      <c r="AL26" s="119" t="s">
        <v>13</v>
      </c>
      <c r="AM26" s="120"/>
      <c r="AN26" s="119" t="s">
        <v>286</v>
      </c>
      <c r="AO26" s="120"/>
      <c r="AP26" s="119" t="s">
        <v>287</v>
      </c>
      <c r="AQ26" s="120"/>
      <c r="AR26" s="119" t="s">
        <v>291</v>
      </c>
      <c r="AS26" s="120"/>
      <c r="AT26" s="119" t="s">
        <v>294</v>
      </c>
      <c r="AU26" s="120"/>
      <c r="AV26" s="119" t="s">
        <v>14</v>
      </c>
      <c r="AW26" s="120"/>
      <c r="AX26" s="119" t="s">
        <v>15</v>
      </c>
      <c r="AY26" s="120"/>
      <c r="AZ26" s="119" t="s">
        <v>16</v>
      </c>
      <c r="BA26" s="120"/>
      <c r="BB26" s="119" t="s">
        <v>17</v>
      </c>
      <c r="BC26" s="120"/>
      <c r="BD26" s="119" t="s">
        <v>18</v>
      </c>
      <c r="BE26" s="120"/>
      <c r="BF26" s="119" t="s">
        <v>288</v>
      </c>
      <c r="BG26" s="120"/>
      <c r="BH26" s="119" t="s">
        <v>289</v>
      </c>
      <c r="BI26" s="120"/>
      <c r="BJ26" s="119" t="s">
        <v>19</v>
      </c>
      <c r="BK26" s="120"/>
      <c r="BL26" s="119" t="s">
        <v>20</v>
      </c>
      <c r="BM26" s="120"/>
      <c r="BN26" s="121" t="s">
        <v>21</v>
      </c>
      <c r="BO26" s="122"/>
    </row>
    <row r="27" spans="1:67" ht="30" x14ac:dyDescent="0.25">
      <c r="A27" s="3"/>
      <c r="B27" s="57" t="s">
        <v>296</v>
      </c>
      <c r="C27" s="58" t="s">
        <v>297</v>
      </c>
      <c r="D27" s="57" t="s">
        <v>296</v>
      </c>
      <c r="E27" s="58" t="s">
        <v>297</v>
      </c>
      <c r="F27" s="57" t="s">
        <v>296</v>
      </c>
      <c r="G27" s="58" t="s">
        <v>297</v>
      </c>
      <c r="H27" s="57" t="s">
        <v>296</v>
      </c>
      <c r="I27" s="58" t="s">
        <v>297</v>
      </c>
      <c r="J27" s="57" t="s">
        <v>296</v>
      </c>
      <c r="K27" s="58" t="s">
        <v>297</v>
      </c>
      <c r="L27" s="57" t="s">
        <v>296</v>
      </c>
      <c r="M27" s="58" t="s">
        <v>297</v>
      </c>
      <c r="N27" s="57" t="s">
        <v>296</v>
      </c>
      <c r="O27" s="58" t="s">
        <v>297</v>
      </c>
      <c r="P27" s="57" t="s">
        <v>296</v>
      </c>
      <c r="Q27" s="58" t="s">
        <v>297</v>
      </c>
      <c r="R27" s="57" t="s">
        <v>296</v>
      </c>
      <c r="S27" s="58" t="s">
        <v>297</v>
      </c>
      <c r="T27" s="57" t="s">
        <v>296</v>
      </c>
      <c r="U27" s="58" t="s">
        <v>297</v>
      </c>
      <c r="V27" s="57" t="s">
        <v>296</v>
      </c>
      <c r="W27" s="58" t="s">
        <v>297</v>
      </c>
      <c r="X27" s="57" t="s">
        <v>296</v>
      </c>
      <c r="Y27" s="58" t="s">
        <v>297</v>
      </c>
      <c r="Z27" s="57" t="s">
        <v>296</v>
      </c>
      <c r="AA27" s="58" t="s">
        <v>297</v>
      </c>
      <c r="AB27" s="57" t="s">
        <v>296</v>
      </c>
      <c r="AC27" s="58" t="s">
        <v>297</v>
      </c>
      <c r="AD27" s="57" t="s">
        <v>296</v>
      </c>
      <c r="AE27" s="58" t="s">
        <v>297</v>
      </c>
      <c r="AF27" s="57" t="s">
        <v>296</v>
      </c>
      <c r="AG27" s="58" t="s">
        <v>297</v>
      </c>
      <c r="AH27" s="57" t="s">
        <v>296</v>
      </c>
      <c r="AI27" s="58" t="s">
        <v>297</v>
      </c>
      <c r="AJ27" s="57" t="s">
        <v>296</v>
      </c>
      <c r="AK27" s="58" t="s">
        <v>297</v>
      </c>
      <c r="AL27" s="57" t="s">
        <v>296</v>
      </c>
      <c r="AM27" s="58" t="s">
        <v>297</v>
      </c>
      <c r="AN27" s="57" t="s">
        <v>296</v>
      </c>
      <c r="AO27" s="58" t="s">
        <v>297</v>
      </c>
      <c r="AP27" s="57" t="s">
        <v>296</v>
      </c>
      <c r="AQ27" s="58" t="s">
        <v>297</v>
      </c>
      <c r="AR27" s="57" t="s">
        <v>296</v>
      </c>
      <c r="AS27" s="58" t="s">
        <v>297</v>
      </c>
      <c r="AT27" s="57" t="s">
        <v>296</v>
      </c>
      <c r="AU27" s="58" t="s">
        <v>297</v>
      </c>
      <c r="AV27" s="57" t="s">
        <v>296</v>
      </c>
      <c r="AW27" s="58" t="s">
        <v>297</v>
      </c>
      <c r="AX27" s="57" t="s">
        <v>296</v>
      </c>
      <c r="AY27" s="58" t="s">
        <v>297</v>
      </c>
      <c r="AZ27" s="57" t="s">
        <v>296</v>
      </c>
      <c r="BA27" s="58" t="s">
        <v>297</v>
      </c>
      <c r="BB27" s="57" t="s">
        <v>296</v>
      </c>
      <c r="BC27" s="58" t="s">
        <v>297</v>
      </c>
      <c r="BD27" s="57" t="s">
        <v>296</v>
      </c>
      <c r="BE27" s="58" t="s">
        <v>297</v>
      </c>
      <c r="BF27" s="57" t="s">
        <v>296</v>
      </c>
      <c r="BG27" s="58" t="s">
        <v>297</v>
      </c>
      <c r="BH27" s="57" t="s">
        <v>296</v>
      </c>
      <c r="BI27" s="58" t="s">
        <v>297</v>
      </c>
      <c r="BJ27" s="57" t="s">
        <v>296</v>
      </c>
      <c r="BK27" s="58" t="s">
        <v>297</v>
      </c>
      <c r="BL27" s="57" t="s">
        <v>296</v>
      </c>
      <c r="BM27" s="58" t="s">
        <v>297</v>
      </c>
      <c r="BN27" s="57" t="s">
        <v>296</v>
      </c>
      <c r="BO27" s="58" t="s">
        <v>297</v>
      </c>
    </row>
    <row r="28" spans="1:67" x14ac:dyDescent="0.25">
      <c r="A28" s="21" t="s">
        <v>228</v>
      </c>
      <c r="B28" s="84">
        <v>259540</v>
      </c>
      <c r="C28" s="84">
        <v>703310</v>
      </c>
      <c r="D28" s="84"/>
      <c r="E28" s="84"/>
      <c r="F28" s="84"/>
      <c r="G28" s="84"/>
      <c r="H28" s="84">
        <v>5306656</v>
      </c>
      <c r="I28" s="84">
        <v>14792506</v>
      </c>
      <c r="J28" s="84">
        <v>1788376</v>
      </c>
      <c r="K28" s="84">
        <v>6019332</v>
      </c>
      <c r="L28" s="84">
        <v>3246706</v>
      </c>
      <c r="M28" s="84">
        <v>10619323</v>
      </c>
      <c r="N28" s="84"/>
      <c r="O28" s="84"/>
      <c r="P28" s="84">
        <v>194026</v>
      </c>
      <c r="Q28" s="84">
        <v>553793</v>
      </c>
      <c r="R28" s="84">
        <v>1571042</v>
      </c>
      <c r="S28" s="84">
        <v>4886006</v>
      </c>
      <c r="T28" s="84">
        <v>1279973</v>
      </c>
      <c r="U28" s="84">
        <v>3315141</v>
      </c>
      <c r="V28" s="84">
        <f>1129196+3061829</f>
        <v>4191025</v>
      </c>
      <c r="W28" s="84">
        <f>2802165+9589399</f>
        <v>12391564</v>
      </c>
      <c r="X28" s="84">
        <v>9147959</v>
      </c>
      <c r="Y28" s="84">
        <v>29739256</v>
      </c>
      <c r="Z28" s="84">
        <v>5762400</v>
      </c>
      <c r="AA28" s="84">
        <v>16814183</v>
      </c>
      <c r="AB28" s="84">
        <v>303274</v>
      </c>
      <c r="AC28" s="84">
        <v>858503</v>
      </c>
      <c r="AD28" s="84">
        <f>233380+917261</f>
        <v>1150641</v>
      </c>
      <c r="AE28" s="84">
        <f>623062+3019436</f>
        <v>3642498</v>
      </c>
      <c r="AF28" s="84">
        <v>959770</v>
      </c>
      <c r="AG28" s="84">
        <v>2163207</v>
      </c>
      <c r="AH28" s="84"/>
      <c r="AI28" s="84"/>
      <c r="AJ28" s="84"/>
      <c r="AK28" s="84"/>
      <c r="AL28" s="84">
        <v>10306048.893000001</v>
      </c>
      <c r="AM28" s="84">
        <v>31100542.998000003</v>
      </c>
      <c r="AN28" s="84">
        <v>44778</v>
      </c>
      <c r="AO28" s="84">
        <v>140149</v>
      </c>
      <c r="AP28" s="84">
        <f>35158+217853</f>
        <v>253011</v>
      </c>
      <c r="AQ28" s="84">
        <f>81277+385519</f>
        <v>466796</v>
      </c>
      <c r="AR28" s="84">
        <v>4228538</v>
      </c>
      <c r="AS28" s="84">
        <v>10928234</v>
      </c>
      <c r="AT28" s="84"/>
      <c r="AU28" s="84"/>
      <c r="AV28" s="84">
        <v>3351744</v>
      </c>
      <c r="AW28" s="84">
        <v>9572727</v>
      </c>
      <c r="AX28" s="84">
        <v>2203806</v>
      </c>
      <c r="AY28" s="84">
        <v>6372455</v>
      </c>
      <c r="AZ28" s="84">
        <v>2318991</v>
      </c>
      <c r="BA28" s="84">
        <v>6950425</v>
      </c>
      <c r="BB28" s="84"/>
      <c r="BC28" s="84"/>
      <c r="BD28" s="103">
        <v>5557284</v>
      </c>
      <c r="BE28" s="103">
        <v>14388417</v>
      </c>
      <c r="BF28" s="84">
        <v>19064198</v>
      </c>
      <c r="BG28" s="84">
        <v>53821068</v>
      </c>
      <c r="BH28" s="103">
        <v>7068121</v>
      </c>
      <c r="BI28" s="103">
        <v>20823705</v>
      </c>
      <c r="BJ28" s="103">
        <v>10230555</v>
      </c>
      <c r="BK28" s="103">
        <v>29049769</v>
      </c>
      <c r="BL28" s="103">
        <f>1332116+247689</f>
        <v>1579805</v>
      </c>
      <c r="BM28" s="103">
        <f>656989+3569148</f>
        <v>4226137</v>
      </c>
      <c r="BN28" s="73">
        <f t="shared" ref="BN28:BN34" si="4">SUM(B28+D28+F28+H28+J28+L28+N28+P28+R28+T28+V28+X28+Z28+AB28+AD28+AF28+AH28+AJ28+AL28+AN28+AP28+AR28+AT28+AV28+AX28+AZ28+BB28+BD28+BF28+BH28+BJ28+BL28)</f>
        <v>101368267.89300001</v>
      </c>
      <c r="BO28" s="73">
        <f t="shared" ref="BO28:BO34" si="5">SUM(C28+E28+G28+I28+K28+M28+O28+Q28+S28+U28+W28+Y28+AA28+AC28+AE28+AG28+AI28+AK28+AM28+AO28+AQ28+AS28+AU28+AW28+AY28+BA28+BC28+BE28+BG28+BI28+BK28+BM28)</f>
        <v>294339046.99800003</v>
      </c>
    </row>
    <row r="29" spans="1:67" x14ac:dyDescent="0.25">
      <c r="A29" s="21" t="s">
        <v>279</v>
      </c>
      <c r="B29" s="84">
        <v>983265</v>
      </c>
      <c r="C29" s="84">
        <v>983265</v>
      </c>
      <c r="D29" s="84"/>
      <c r="E29" s="84"/>
      <c r="F29" s="84"/>
      <c r="G29" s="84"/>
      <c r="H29" s="84">
        <v>2889070</v>
      </c>
      <c r="I29" s="84">
        <v>94562619</v>
      </c>
      <c r="J29" s="84">
        <v>97241</v>
      </c>
      <c r="K29" s="84">
        <v>23161743</v>
      </c>
      <c r="L29" s="84">
        <v>62630788</v>
      </c>
      <c r="M29" s="84">
        <v>62630788</v>
      </c>
      <c r="N29" s="84"/>
      <c r="O29" s="84"/>
      <c r="P29" s="84">
        <v>342114</v>
      </c>
      <c r="Q29" s="84">
        <v>342114</v>
      </c>
      <c r="R29" s="84">
        <v>21418924</v>
      </c>
      <c r="S29" s="84">
        <v>21418924</v>
      </c>
      <c r="T29" s="84">
        <v>20444084</v>
      </c>
      <c r="U29" s="84">
        <v>20444084</v>
      </c>
      <c r="V29" s="84">
        <f>48863599+2754280</f>
        <v>51617879</v>
      </c>
      <c r="W29" s="84">
        <f>48863599+2754280</f>
        <v>51617879</v>
      </c>
      <c r="X29" s="84">
        <v>119823204</v>
      </c>
      <c r="Y29" s="84">
        <v>119823204</v>
      </c>
      <c r="Z29" s="84">
        <v>2331468</v>
      </c>
      <c r="AA29" s="84">
        <v>56090459</v>
      </c>
      <c r="AB29" s="84">
        <v>3184739</v>
      </c>
      <c r="AC29" s="84">
        <v>3184739</v>
      </c>
      <c r="AD29" s="84">
        <f>10079600+708626</f>
        <v>10788226</v>
      </c>
      <c r="AE29" s="84">
        <f>10079600+708626</f>
        <v>10788226</v>
      </c>
      <c r="AF29" s="84">
        <v>19001561</v>
      </c>
      <c r="AG29" s="84">
        <v>19001561</v>
      </c>
      <c r="AH29" s="84"/>
      <c r="AI29" s="84"/>
      <c r="AJ29" s="84"/>
      <c r="AK29" s="84"/>
      <c r="AL29" s="84">
        <v>4254359.5889126686</v>
      </c>
      <c r="AM29" s="84">
        <v>151880299.77035937</v>
      </c>
      <c r="AN29" s="84">
        <v>958470</v>
      </c>
      <c r="AO29" s="84">
        <v>958470</v>
      </c>
      <c r="AP29" s="84">
        <f>63537+72259</f>
        <v>135796</v>
      </c>
      <c r="AQ29" s="84">
        <f>2355514+209215</f>
        <v>2564729</v>
      </c>
      <c r="AR29" s="84">
        <v>53837321</v>
      </c>
      <c r="AS29" s="84">
        <v>53837321</v>
      </c>
      <c r="AT29" s="84"/>
      <c r="AU29" s="84"/>
      <c r="AV29" s="84"/>
      <c r="AW29" s="84">
        <v>39296619</v>
      </c>
      <c r="AX29" s="84">
        <v>20027609</v>
      </c>
      <c r="AY29" s="84">
        <v>20027609</v>
      </c>
      <c r="AZ29" s="84">
        <v>72296605</v>
      </c>
      <c r="BA29" s="84">
        <v>72296605</v>
      </c>
      <c r="BB29" s="84"/>
      <c r="BC29" s="84"/>
      <c r="BD29" s="103">
        <v>57232926</v>
      </c>
      <c r="BE29" s="103">
        <v>57232926</v>
      </c>
      <c r="BF29" s="84">
        <v>220003004</v>
      </c>
      <c r="BG29" s="84">
        <v>220003004</v>
      </c>
      <c r="BH29" s="103">
        <v>2322265</v>
      </c>
      <c r="BI29" s="103">
        <v>125328746</v>
      </c>
      <c r="BJ29" s="103">
        <v>191765087</v>
      </c>
      <c r="BK29" s="103">
        <v>191765087</v>
      </c>
      <c r="BL29" s="103">
        <f>-222243+134335</f>
        <v>-87908</v>
      </c>
      <c r="BM29" s="103">
        <f>11782015+913393</f>
        <v>12695408</v>
      </c>
      <c r="BN29" s="73">
        <f t="shared" si="4"/>
        <v>938298097.58891273</v>
      </c>
      <c r="BO29" s="73">
        <f t="shared" si="5"/>
        <v>1431936428.7703595</v>
      </c>
    </row>
    <row r="30" spans="1:67" x14ac:dyDescent="0.25">
      <c r="A30" s="21" t="s">
        <v>278</v>
      </c>
      <c r="B30" s="84">
        <v>845564</v>
      </c>
      <c r="C30" s="84">
        <v>598781</v>
      </c>
      <c r="D30" s="84"/>
      <c r="E30" s="84"/>
      <c r="F30" s="84"/>
      <c r="G30" s="84"/>
      <c r="H30" s="84">
        <v>-126598</v>
      </c>
      <c r="I30" s="84">
        <v>77688362</v>
      </c>
      <c r="J30" s="84"/>
      <c r="K30" s="84">
        <v>20789158</v>
      </c>
      <c r="L30" s="84">
        <v>60470585</v>
      </c>
      <c r="M30" s="84">
        <v>52128510</v>
      </c>
      <c r="N30" s="84"/>
      <c r="O30" s="84"/>
      <c r="P30" s="84">
        <v>313094</v>
      </c>
      <c r="Q30" s="84">
        <v>455885</v>
      </c>
      <c r="R30" s="84">
        <v>20614941</v>
      </c>
      <c r="S30" s="84">
        <v>17797715</v>
      </c>
      <c r="T30" s="84">
        <v>15644737</v>
      </c>
      <c r="U30" s="84">
        <v>8762277</v>
      </c>
      <c r="V30" s="84">
        <f>-47395814-3283006</f>
        <v>-50678820</v>
      </c>
      <c r="W30" s="84">
        <f>-38952857-2457740</f>
        <v>-41410597</v>
      </c>
      <c r="X30" s="84">
        <v>116501766</v>
      </c>
      <c r="Y30" s="84">
        <v>105539066</v>
      </c>
      <c r="Z30" s="84"/>
      <c r="AA30" s="84">
        <v>44577678</v>
      </c>
      <c r="AB30" s="84">
        <v>2939619</v>
      </c>
      <c r="AC30" s="84">
        <v>2186158</v>
      </c>
      <c r="AD30" s="84">
        <f>9657964+750758</f>
        <v>10408722</v>
      </c>
      <c r="AE30" s="84">
        <f>8003610+695486</f>
        <v>8699096</v>
      </c>
      <c r="AF30" s="84">
        <v>-18301820</v>
      </c>
      <c r="AG30" s="84">
        <v>-14445655</v>
      </c>
      <c r="AH30" s="84"/>
      <c r="AI30" s="84"/>
      <c r="AJ30" s="84"/>
      <c r="AK30" s="84"/>
      <c r="AL30" s="84"/>
      <c r="AM30" s="84">
        <v>139204959.12099999</v>
      </c>
      <c r="AN30" s="84">
        <v>-910093</v>
      </c>
      <c r="AO30" s="84">
        <v>-662365</v>
      </c>
      <c r="AP30" s="84"/>
      <c r="AQ30" s="84">
        <f>1761113+7804</f>
        <v>1768917</v>
      </c>
      <c r="AR30" s="84">
        <v>52917737</v>
      </c>
      <c r="AS30" s="84">
        <v>46527451</v>
      </c>
      <c r="AT30" s="84"/>
      <c r="AU30" s="84"/>
      <c r="AV30" s="84"/>
      <c r="AW30" s="84">
        <v>-33256984</v>
      </c>
      <c r="AX30" s="84">
        <v>19087015</v>
      </c>
      <c r="AY30" s="84">
        <v>16290500</v>
      </c>
      <c r="AZ30" s="84">
        <v>70737327</v>
      </c>
      <c r="BA30" s="84">
        <v>62221301</v>
      </c>
      <c r="BB30" s="84"/>
      <c r="BC30" s="84"/>
      <c r="BD30" s="103">
        <v>54627622</v>
      </c>
      <c r="BE30" s="103">
        <v>42192986</v>
      </c>
      <c r="BF30" s="84">
        <v>214478616</v>
      </c>
      <c r="BG30" s="84">
        <v>194212361</v>
      </c>
      <c r="BH30" s="103">
        <v>0</v>
      </c>
      <c r="BI30" s="103">
        <v>112024436</v>
      </c>
      <c r="BJ30" s="103">
        <v>187765833</v>
      </c>
      <c r="BK30" s="103">
        <v>173596503</v>
      </c>
      <c r="BL30" s="103"/>
      <c r="BM30" s="103">
        <f>9300971+573632</f>
        <v>9874603</v>
      </c>
      <c r="BN30" s="73">
        <f t="shared" si="4"/>
        <v>757335847</v>
      </c>
      <c r="BO30" s="73">
        <f t="shared" si="5"/>
        <v>1047361102.1210001</v>
      </c>
    </row>
    <row r="31" spans="1:67" x14ac:dyDescent="0.25">
      <c r="A31" s="21" t="s">
        <v>281</v>
      </c>
      <c r="B31" s="84"/>
      <c r="C31" s="84"/>
      <c r="D31" s="84"/>
      <c r="E31" s="84"/>
      <c r="F31" s="84"/>
      <c r="G31" s="84"/>
      <c r="H31" s="84">
        <v>8999002</v>
      </c>
      <c r="I31" s="84">
        <v>31666763</v>
      </c>
      <c r="J31" s="84"/>
      <c r="K31" s="84"/>
      <c r="L31" s="84">
        <v>5406909</v>
      </c>
      <c r="M31" s="84">
        <v>21121601</v>
      </c>
      <c r="N31" s="84"/>
      <c r="O31" s="84"/>
      <c r="P31" s="84">
        <v>223046</v>
      </c>
      <c r="Q31" s="84">
        <v>440022</v>
      </c>
      <c r="R31" s="84"/>
      <c r="S31" s="84"/>
      <c r="T31" s="84"/>
      <c r="U31" s="84"/>
      <c r="V31" s="84">
        <f>2596981+2533103</f>
        <v>5130084</v>
      </c>
      <c r="W31" s="84">
        <f>12712907+9885939</f>
        <v>22598846</v>
      </c>
      <c r="X31" s="84">
        <v>12469396</v>
      </c>
      <c r="Y31" s="84">
        <v>44023394</v>
      </c>
      <c r="Z31" s="84">
        <v>8093868</v>
      </c>
      <c r="AA31" s="84">
        <v>28326964</v>
      </c>
      <c r="AB31" s="84">
        <v>548394</v>
      </c>
      <c r="AC31" s="84">
        <v>1857084</v>
      </c>
      <c r="AD31" s="84">
        <f>655017+875129</f>
        <v>1530146</v>
      </c>
      <c r="AE31" s="84">
        <f>2699052+3032576</f>
        <v>5731628</v>
      </c>
      <c r="AF31" s="84">
        <v>1659511</v>
      </c>
      <c r="AG31" s="84">
        <v>6719113</v>
      </c>
      <c r="AH31" s="84"/>
      <c r="AI31" s="84"/>
      <c r="AJ31" s="84"/>
      <c r="AK31" s="84"/>
      <c r="AL31" s="84"/>
      <c r="AM31" s="84"/>
      <c r="AN31" s="84">
        <v>93155</v>
      </c>
      <c r="AO31" s="84">
        <v>436254</v>
      </c>
      <c r="AP31" s="84">
        <f>98694+290112</f>
        <v>388806</v>
      </c>
      <c r="AQ31" s="84">
        <f>675678+586929</f>
        <v>1262607</v>
      </c>
      <c r="AR31" s="84"/>
      <c r="AS31" s="84"/>
      <c r="AT31" s="84"/>
      <c r="AU31" s="84"/>
      <c r="AV31" s="84">
        <v>3351744</v>
      </c>
      <c r="AW31" s="84">
        <v>15612362</v>
      </c>
      <c r="AX31" s="84"/>
      <c r="AY31" s="84"/>
      <c r="AZ31" s="84"/>
      <c r="BA31" s="84"/>
      <c r="BB31" s="84"/>
      <c r="BC31" s="84"/>
      <c r="BD31" s="103">
        <v>8162588</v>
      </c>
      <c r="BE31" s="103">
        <v>29428357</v>
      </c>
      <c r="BF31" s="84">
        <v>24588585</v>
      </c>
      <c r="BG31" s="84">
        <v>79611711</v>
      </c>
      <c r="BH31" s="103">
        <v>9390387</v>
      </c>
      <c r="BI31" s="103">
        <v>34128015</v>
      </c>
      <c r="BJ31" s="103">
        <v>14229809</v>
      </c>
      <c r="BK31" s="103">
        <v>47218353</v>
      </c>
      <c r="BL31" s="103">
        <f>1109873+382024</f>
        <v>1491897</v>
      </c>
      <c r="BM31" s="103">
        <f>3138033+3908909</f>
        <v>7046942</v>
      </c>
      <c r="BN31" s="73">
        <f t="shared" si="4"/>
        <v>105757327</v>
      </c>
      <c r="BO31" s="73">
        <f t="shared" si="5"/>
        <v>377230016</v>
      </c>
    </row>
    <row r="32" spans="1:67" x14ac:dyDescent="0.25">
      <c r="A32" s="21" t="s">
        <v>276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>
        <v>166167</v>
      </c>
      <c r="U32" s="84">
        <v>338534</v>
      </c>
      <c r="V32" s="84"/>
      <c r="W32" s="84"/>
      <c r="X32" s="84"/>
      <c r="Y32" s="84">
        <v>46405</v>
      </c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>
        <v>4276.9589999999998</v>
      </c>
      <c r="AM32" s="84">
        <v>4755.2979999999998</v>
      </c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103">
        <v>6</v>
      </c>
      <c r="BE32" s="103">
        <v>6</v>
      </c>
      <c r="BF32" s="84">
        <v>29544</v>
      </c>
      <c r="BG32" s="84">
        <v>130489</v>
      </c>
      <c r="BH32" s="103">
        <v>-306</v>
      </c>
      <c r="BI32" s="103">
        <v>8233</v>
      </c>
      <c r="BJ32" s="103">
        <v>-61</v>
      </c>
      <c r="BK32" s="103">
        <v>-75</v>
      </c>
      <c r="BL32" s="103"/>
      <c r="BM32" s="103"/>
      <c r="BN32" s="73">
        <f t="shared" si="4"/>
        <v>199626.959</v>
      </c>
      <c r="BO32" s="73">
        <f t="shared" si="5"/>
        <v>528347.29799999995</v>
      </c>
    </row>
    <row r="33" spans="1:67" x14ac:dyDescent="0.25">
      <c r="A33" s="21" t="s">
        <v>277</v>
      </c>
      <c r="B33" s="84">
        <v>164125</v>
      </c>
      <c r="C33" s="84">
        <v>443873</v>
      </c>
      <c r="D33" s="84"/>
      <c r="E33" s="84"/>
      <c r="F33" s="84"/>
      <c r="G33" s="84"/>
      <c r="H33" s="84">
        <v>536431</v>
      </c>
      <c r="I33" s="84">
        <v>1355396</v>
      </c>
      <c r="J33" s="84">
        <v>132361</v>
      </c>
      <c r="K33" s="84">
        <v>413364</v>
      </c>
      <c r="L33" s="84">
        <v>787673</v>
      </c>
      <c r="M33" s="84">
        <v>2427257</v>
      </c>
      <c r="N33" s="84"/>
      <c r="O33" s="84"/>
      <c r="P33" s="84">
        <v>10331</v>
      </c>
      <c r="Q33" s="84">
        <v>-410251</v>
      </c>
      <c r="R33" s="84">
        <v>125060</v>
      </c>
      <c r="S33" s="84">
        <v>372474</v>
      </c>
      <c r="T33" s="84">
        <v>2145755</v>
      </c>
      <c r="U33" s="84">
        <v>2578851</v>
      </c>
      <c r="V33" s="84">
        <f>-88499-283443</f>
        <v>-371942</v>
      </c>
      <c r="W33" s="84">
        <f>-2381396-1244637</f>
        <v>-3626033</v>
      </c>
      <c r="X33" s="84">
        <v>893086</v>
      </c>
      <c r="Y33" s="84">
        <v>3629765</v>
      </c>
      <c r="Z33" s="84">
        <v>1381199</v>
      </c>
      <c r="AA33" s="84">
        <v>4223818</v>
      </c>
      <c r="AB33" s="84">
        <v>17499</v>
      </c>
      <c r="AC33" s="84">
        <v>45809</v>
      </c>
      <c r="AD33" s="84">
        <f>11528+44704</f>
        <v>56232</v>
      </c>
      <c r="AE33" s="84">
        <f>30874+146178</f>
        <v>177052</v>
      </c>
      <c r="AF33" s="84">
        <v>-398493</v>
      </c>
      <c r="AG33" s="84">
        <v>-1040419</v>
      </c>
      <c r="AH33" s="84"/>
      <c r="AI33" s="84"/>
      <c r="AJ33" s="84"/>
      <c r="AK33" s="84"/>
      <c r="AL33" s="84">
        <v>5409982.6279999996</v>
      </c>
      <c r="AM33" s="84">
        <v>8983833.1770000011</v>
      </c>
      <c r="AN33" s="84">
        <v>-2239</v>
      </c>
      <c r="AO33" s="84">
        <v>-7008</v>
      </c>
      <c r="AP33" s="84">
        <f>1759+10893</f>
        <v>12652</v>
      </c>
      <c r="AQ33" s="84">
        <f>4064+19276</f>
        <v>23340</v>
      </c>
      <c r="AR33" s="84">
        <v>963798</v>
      </c>
      <c r="AS33" s="84">
        <v>2564496</v>
      </c>
      <c r="AT33" s="84"/>
      <c r="AU33" s="84"/>
      <c r="AV33" s="84">
        <v>-689259</v>
      </c>
      <c r="AW33" s="84">
        <v>-2021456</v>
      </c>
      <c r="AX33" s="84">
        <v>724257</v>
      </c>
      <c r="AY33" s="84">
        <v>1671485</v>
      </c>
      <c r="AZ33" s="84">
        <v>128522</v>
      </c>
      <c r="BA33" s="84">
        <v>380947</v>
      </c>
      <c r="BB33" s="84"/>
      <c r="BC33" s="84"/>
      <c r="BD33" s="103">
        <v>1493717</v>
      </c>
      <c r="BE33" s="103">
        <v>4221513</v>
      </c>
      <c r="BF33" s="84">
        <v>1229916</v>
      </c>
      <c r="BG33" s="84">
        <v>3165670</v>
      </c>
      <c r="BH33" s="103">
        <v>493032</v>
      </c>
      <c r="BI33" s="103">
        <v>2492713</v>
      </c>
      <c r="BJ33" s="103">
        <v>647912</v>
      </c>
      <c r="BK33" s="103">
        <v>2009170</v>
      </c>
      <c r="BL33" s="103">
        <f>947827+161466</f>
        <v>1109293</v>
      </c>
      <c r="BM33" s="103">
        <f>183591+1061672</f>
        <v>1245263</v>
      </c>
      <c r="BN33" s="73">
        <f t="shared" si="4"/>
        <v>17000900.627999999</v>
      </c>
      <c r="BO33" s="73">
        <f t="shared" si="5"/>
        <v>35320922.177000001</v>
      </c>
    </row>
    <row r="34" spans="1:67" x14ac:dyDescent="0.25">
      <c r="A34" s="21" t="s">
        <v>273</v>
      </c>
      <c r="B34" s="84">
        <v>233116</v>
      </c>
      <c r="C34" s="84">
        <v>643921</v>
      </c>
      <c r="D34" s="84"/>
      <c r="E34" s="84"/>
      <c r="F34" s="84"/>
      <c r="G34" s="84"/>
      <c r="H34" s="84">
        <v>7830310</v>
      </c>
      <c r="I34" s="84">
        <v>29679106</v>
      </c>
      <c r="J34" s="84">
        <v>1753256</v>
      </c>
      <c r="K34" s="84">
        <v>7978554</v>
      </c>
      <c r="L34" s="84">
        <v>4619236</v>
      </c>
      <c r="M34" s="84">
        <v>18694344</v>
      </c>
      <c r="N34" s="84"/>
      <c r="O34" s="84"/>
      <c r="P34" s="84">
        <v>212715</v>
      </c>
      <c r="Q34" s="84">
        <v>850273</v>
      </c>
      <c r="R34" s="84">
        <v>2249966</v>
      </c>
      <c r="S34" s="84">
        <v>8134742</v>
      </c>
      <c r="T34" s="84">
        <v>4099733</v>
      </c>
      <c r="U34" s="84">
        <v>12756631</v>
      </c>
      <c r="V34" s="84">
        <f>1668293+2378766</f>
        <v>4047059</v>
      </c>
      <c r="W34" s="84">
        <f>7995723+8860692</f>
        <v>16856415</v>
      </c>
      <c r="X34" s="84">
        <v>11655921</v>
      </c>
      <c r="Y34" s="84">
        <v>40594146</v>
      </c>
      <c r="Z34" s="84">
        <v>6712669</v>
      </c>
      <c r="AA34" s="84">
        <v>24103146</v>
      </c>
      <c r="AB34" s="84">
        <v>530895</v>
      </c>
      <c r="AC34" s="84">
        <v>1811275</v>
      </c>
      <c r="AD34" s="84">
        <f>622713+832222</f>
        <v>1454935</v>
      </c>
      <c r="AE34" s="84">
        <f>2876833+2561534</f>
        <v>5438367</v>
      </c>
      <c r="AF34" s="84">
        <v>1358703</v>
      </c>
      <c r="AG34" s="84">
        <v>5400342</v>
      </c>
      <c r="AH34" s="84"/>
      <c r="AI34" s="84"/>
      <c r="AJ34" s="84"/>
      <c r="AK34" s="84"/>
      <c r="AL34" s="84">
        <v>9154702.8059126716</v>
      </c>
      <c r="AM34" s="84">
        <v>34796805.768359363</v>
      </c>
      <c r="AN34" s="84">
        <v>88497</v>
      </c>
      <c r="AO34" s="84">
        <v>414440</v>
      </c>
      <c r="AP34" s="84">
        <f>96936+279219</f>
        <v>376155</v>
      </c>
      <c r="AQ34" s="84">
        <f>671614+567653</f>
        <v>1239267</v>
      </c>
      <c r="AR34" s="84">
        <v>4184324</v>
      </c>
      <c r="AS34" s="84">
        <v>15628608</v>
      </c>
      <c r="AT34" s="84"/>
      <c r="AU34" s="84"/>
      <c r="AV34" s="84">
        <v>3802493</v>
      </c>
      <c r="AW34" s="84">
        <v>14246174</v>
      </c>
      <c r="AX34" s="84">
        <v>2420143</v>
      </c>
      <c r="AY34" s="84">
        <v>8438079</v>
      </c>
      <c r="AZ34" s="84">
        <v>3749747</v>
      </c>
      <c r="BA34" s="84">
        <v>16644782</v>
      </c>
      <c r="BB34" s="84"/>
      <c r="BC34" s="84"/>
      <c r="BD34" s="103">
        <v>6668877</v>
      </c>
      <c r="BE34" s="103">
        <v>25206850</v>
      </c>
      <c r="BF34" s="84">
        <v>23739270</v>
      </c>
      <c r="BG34" s="84">
        <v>75802308</v>
      </c>
      <c r="BH34" s="103">
        <v>8897049</v>
      </c>
      <c r="BI34" s="103">
        <v>31643535</v>
      </c>
      <c r="BJ34" s="103">
        <v>13581836</v>
      </c>
      <c r="BK34" s="103">
        <v>45209108</v>
      </c>
      <c r="BL34" s="103">
        <f>162046+220558</f>
        <v>382604</v>
      </c>
      <c r="BM34" s="103">
        <f>2954442+2847237</f>
        <v>5801679</v>
      </c>
      <c r="BN34" s="73">
        <f t="shared" si="4"/>
        <v>123804211.80591267</v>
      </c>
      <c r="BO34" s="73">
        <f t="shared" si="5"/>
        <v>448012897.76835936</v>
      </c>
    </row>
    <row r="35" spans="1:67" x14ac:dyDescent="0.25">
      <c r="A35" s="13"/>
    </row>
    <row r="36" spans="1:67" x14ac:dyDescent="0.25">
      <c r="A36" s="28" t="s">
        <v>219</v>
      </c>
    </row>
    <row r="37" spans="1:67" x14ac:dyDescent="0.25">
      <c r="A37" s="3" t="s">
        <v>0</v>
      </c>
      <c r="B37" s="119" t="s">
        <v>1</v>
      </c>
      <c r="C37" s="120"/>
      <c r="D37" s="119" t="s">
        <v>282</v>
      </c>
      <c r="E37" s="120"/>
      <c r="F37" s="119" t="s">
        <v>2</v>
      </c>
      <c r="G37" s="120"/>
      <c r="H37" s="119" t="s">
        <v>3</v>
      </c>
      <c r="I37" s="120"/>
      <c r="J37" s="119" t="s">
        <v>4</v>
      </c>
      <c r="K37" s="120"/>
      <c r="L37" s="119" t="s">
        <v>283</v>
      </c>
      <c r="M37" s="120"/>
      <c r="N37" s="119" t="s">
        <v>6</v>
      </c>
      <c r="O37" s="120"/>
      <c r="P37" s="119" t="s">
        <v>5</v>
      </c>
      <c r="Q37" s="120"/>
      <c r="R37" s="119" t="s">
        <v>7</v>
      </c>
      <c r="S37" s="120"/>
      <c r="T37" s="119" t="s">
        <v>284</v>
      </c>
      <c r="U37" s="120"/>
      <c r="V37" s="119" t="s">
        <v>8</v>
      </c>
      <c r="W37" s="120"/>
      <c r="X37" s="119" t="s">
        <v>9</v>
      </c>
      <c r="Y37" s="120"/>
      <c r="Z37" s="119" t="s">
        <v>10</v>
      </c>
      <c r="AA37" s="120"/>
      <c r="AB37" s="119" t="s">
        <v>293</v>
      </c>
      <c r="AC37" s="120"/>
      <c r="AD37" s="119" t="s">
        <v>11</v>
      </c>
      <c r="AE37" s="120"/>
      <c r="AF37" s="119" t="s">
        <v>12</v>
      </c>
      <c r="AG37" s="120"/>
      <c r="AH37" s="119" t="s">
        <v>285</v>
      </c>
      <c r="AI37" s="120"/>
      <c r="AJ37" s="119" t="s">
        <v>290</v>
      </c>
      <c r="AK37" s="120"/>
      <c r="AL37" s="119" t="s">
        <v>13</v>
      </c>
      <c r="AM37" s="120"/>
      <c r="AN37" s="119" t="s">
        <v>286</v>
      </c>
      <c r="AO37" s="120"/>
      <c r="AP37" s="119" t="s">
        <v>287</v>
      </c>
      <c r="AQ37" s="120"/>
      <c r="AR37" s="119" t="s">
        <v>291</v>
      </c>
      <c r="AS37" s="120"/>
      <c r="AT37" s="119" t="s">
        <v>294</v>
      </c>
      <c r="AU37" s="120"/>
      <c r="AV37" s="119" t="s">
        <v>14</v>
      </c>
      <c r="AW37" s="120"/>
      <c r="AX37" s="119" t="s">
        <v>15</v>
      </c>
      <c r="AY37" s="120"/>
      <c r="AZ37" s="119" t="s">
        <v>16</v>
      </c>
      <c r="BA37" s="120"/>
      <c r="BB37" s="119" t="s">
        <v>17</v>
      </c>
      <c r="BC37" s="120"/>
      <c r="BD37" s="119" t="s">
        <v>18</v>
      </c>
      <c r="BE37" s="120"/>
      <c r="BF37" s="119" t="s">
        <v>288</v>
      </c>
      <c r="BG37" s="120"/>
      <c r="BH37" s="119" t="s">
        <v>289</v>
      </c>
      <c r="BI37" s="120"/>
      <c r="BJ37" s="119" t="s">
        <v>19</v>
      </c>
      <c r="BK37" s="120"/>
      <c r="BL37" s="119" t="s">
        <v>20</v>
      </c>
      <c r="BM37" s="120"/>
      <c r="BN37" s="121" t="s">
        <v>21</v>
      </c>
      <c r="BO37" s="122"/>
    </row>
    <row r="38" spans="1:67" ht="30" x14ac:dyDescent="0.25">
      <c r="A38" s="3"/>
      <c r="B38" s="57" t="s">
        <v>296</v>
      </c>
      <c r="C38" s="58" t="s">
        <v>297</v>
      </c>
      <c r="D38" s="57" t="s">
        <v>296</v>
      </c>
      <c r="E38" s="58" t="s">
        <v>297</v>
      </c>
      <c r="F38" s="57" t="s">
        <v>296</v>
      </c>
      <c r="G38" s="58" t="s">
        <v>297</v>
      </c>
      <c r="H38" s="57" t="s">
        <v>296</v>
      </c>
      <c r="I38" s="58" t="s">
        <v>297</v>
      </c>
      <c r="J38" s="57" t="s">
        <v>296</v>
      </c>
      <c r="K38" s="58" t="s">
        <v>297</v>
      </c>
      <c r="L38" s="57" t="s">
        <v>296</v>
      </c>
      <c r="M38" s="58" t="s">
        <v>297</v>
      </c>
      <c r="N38" s="57" t="s">
        <v>296</v>
      </c>
      <c r="O38" s="58" t="s">
        <v>297</v>
      </c>
      <c r="P38" s="57" t="s">
        <v>296</v>
      </c>
      <c r="Q38" s="58" t="s">
        <v>297</v>
      </c>
      <c r="R38" s="57" t="s">
        <v>296</v>
      </c>
      <c r="S38" s="58" t="s">
        <v>297</v>
      </c>
      <c r="T38" s="57" t="s">
        <v>296</v>
      </c>
      <c r="U38" s="58" t="s">
        <v>297</v>
      </c>
      <c r="V38" s="57" t="s">
        <v>296</v>
      </c>
      <c r="W38" s="58" t="s">
        <v>297</v>
      </c>
      <c r="X38" s="57" t="s">
        <v>296</v>
      </c>
      <c r="Y38" s="58" t="s">
        <v>297</v>
      </c>
      <c r="Z38" s="57" t="s">
        <v>296</v>
      </c>
      <c r="AA38" s="58" t="s">
        <v>297</v>
      </c>
      <c r="AB38" s="57" t="s">
        <v>296</v>
      </c>
      <c r="AC38" s="58" t="s">
        <v>297</v>
      </c>
      <c r="AD38" s="57" t="s">
        <v>296</v>
      </c>
      <c r="AE38" s="58" t="s">
        <v>297</v>
      </c>
      <c r="AF38" s="57" t="s">
        <v>296</v>
      </c>
      <c r="AG38" s="58" t="s">
        <v>297</v>
      </c>
      <c r="AH38" s="57" t="s">
        <v>296</v>
      </c>
      <c r="AI38" s="58" t="s">
        <v>297</v>
      </c>
      <c r="AJ38" s="57" t="s">
        <v>296</v>
      </c>
      <c r="AK38" s="58" t="s">
        <v>297</v>
      </c>
      <c r="AL38" s="57" t="s">
        <v>296</v>
      </c>
      <c r="AM38" s="58" t="s">
        <v>297</v>
      </c>
      <c r="AN38" s="57" t="s">
        <v>296</v>
      </c>
      <c r="AO38" s="58" t="s">
        <v>297</v>
      </c>
      <c r="AP38" s="57" t="s">
        <v>296</v>
      </c>
      <c r="AQ38" s="58" t="s">
        <v>297</v>
      </c>
      <c r="AR38" s="57" t="s">
        <v>296</v>
      </c>
      <c r="AS38" s="58" t="s">
        <v>297</v>
      </c>
      <c r="AT38" s="57" t="s">
        <v>296</v>
      </c>
      <c r="AU38" s="58" t="s">
        <v>297</v>
      </c>
      <c r="AV38" s="57" t="s">
        <v>296</v>
      </c>
      <c r="AW38" s="58" t="s">
        <v>297</v>
      </c>
      <c r="AX38" s="57" t="s">
        <v>296</v>
      </c>
      <c r="AY38" s="58" t="s">
        <v>297</v>
      </c>
      <c r="AZ38" s="57" t="s">
        <v>296</v>
      </c>
      <c r="BA38" s="58" t="s">
        <v>297</v>
      </c>
      <c r="BB38" s="57" t="s">
        <v>296</v>
      </c>
      <c r="BC38" s="58" t="s">
        <v>297</v>
      </c>
      <c r="BD38" s="57" t="s">
        <v>296</v>
      </c>
      <c r="BE38" s="58" t="s">
        <v>297</v>
      </c>
      <c r="BF38" s="57" t="s">
        <v>296</v>
      </c>
      <c r="BG38" s="58" t="s">
        <v>297</v>
      </c>
      <c r="BH38" s="57" t="s">
        <v>296</v>
      </c>
      <c r="BI38" s="58" t="s">
        <v>297</v>
      </c>
      <c r="BJ38" s="57" t="s">
        <v>296</v>
      </c>
      <c r="BK38" s="58" t="s">
        <v>297</v>
      </c>
      <c r="BL38" s="57" t="s">
        <v>296</v>
      </c>
      <c r="BM38" s="58" t="s">
        <v>297</v>
      </c>
      <c r="BN38" s="57" t="s">
        <v>296</v>
      </c>
      <c r="BO38" s="58" t="s">
        <v>297</v>
      </c>
    </row>
    <row r="39" spans="1:67" x14ac:dyDescent="0.25">
      <c r="A39" s="21" t="s">
        <v>228</v>
      </c>
      <c r="B39" s="84"/>
      <c r="C39" s="84"/>
      <c r="D39" s="84"/>
      <c r="E39" s="84"/>
      <c r="F39" s="84"/>
      <c r="G39" s="84"/>
      <c r="H39" s="84">
        <v>283534</v>
      </c>
      <c r="I39" s="84">
        <v>656910</v>
      </c>
      <c r="J39" s="84">
        <v>102435</v>
      </c>
      <c r="K39" s="84">
        <v>172339</v>
      </c>
      <c r="L39" s="84">
        <v>57773</v>
      </c>
      <c r="M39" s="84">
        <v>101186</v>
      </c>
      <c r="N39" s="84"/>
      <c r="O39" s="84"/>
      <c r="P39" s="84"/>
      <c r="Q39" s="84"/>
      <c r="R39" s="84">
        <v>34287</v>
      </c>
      <c r="S39" s="84">
        <v>101711</v>
      </c>
      <c r="T39" s="84">
        <v>2994</v>
      </c>
      <c r="U39" s="84">
        <v>6028</v>
      </c>
      <c r="V39" s="84">
        <v>327315</v>
      </c>
      <c r="W39" s="84">
        <v>811040</v>
      </c>
      <c r="X39" s="84">
        <v>402704</v>
      </c>
      <c r="Y39" s="84">
        <v>1480258</v>
      </c>
      <c r="Z39" s="84">
        <v>91740</v>
      </c>
      <c r="AA39" s="84">
        <v>389750</v>
      </c>
      <c r="AB39" s="84"/>
      <c r="AC39" s="84">
        <v>350</v>
      </c>
      <c r="AD39" s="84">
        <v>30950</v>
      </c>
      <c r="AE39" s="84">
        <v>122471</v>
      </c>
      <c r="AF39" s="84">
        <v>8078</v>
      </c>
      <c r="AG39" s="84">
        <v>29191</v>
      </c>
      <c r="AH39" s="84"/>
      <c r="AI39" s="84"/>
      <c r="AJ39" s="84"/>
      <c r="AK39" s="84"/>
      <c r="AL39" s="84">
        <v>333424.83699999994</v>
      </c>
      <c r="AM39" s="84">
        <v>799592.91799999995</v>
      </c>
      <c r="AN39" s="84"/>
      <c r="AO39" s="84"/>
      <c r="AP39" s="84">
        <v>2362</v>
      </c>
      <c r="AQ39" s="84">
        <v>2407</v>
      </c>
      <c r="AR39" s="84">
        <v>144039</v>
      </c>
      <c r="AS39" s="84">
        <v>1155020</v>
      </c>
      <c r="AT39" s="84"/>
      <c r="AU39" s="84"/>
      <c r="AV39" s="84">
        <v>43979</v>
      </c>
      <c r="AW39" s="84">
        <v>193307</v>
      </c>
      <c r="AX39" s="84">
        <v>36636</v>
      </c>
      <c r="AY39" s="84">
        <v>91053</v>
      </c>
      <c r="AZ39" s="84">
        <v>23882</v>
      </c>
      <c r="BA39" s="84">
        <v>92975</v>
      </c>
      <c r="BB39" s="84"/>
      <c r="BC39" s="84"/>
      <c r="BD39" s="103">
        <v>131647</v>
      </c>
      <c r="BE39" s="103">
        <v>256751</v>
      </c>
      <c r="BF39" s="84">
        <v>706505</v>
      </c>
      <c r="BG39" s="84">
        <v>2522617</v>
      </c>
      <c r="BH39" s="103">
        <v>583335</v>
      </c>
      <c r="BI39" s="103">
        <v>1057159</v>
      </c>
      <c r="BJ39" s="103">
        <v>526172</v>
      </c>
      <c r="BK39" s="103">
        <v>1461902</v>
      </c>
      <c r="BL39" s="103">
        <v>7402</v>
      </c>
      <c r="BM39" s="103">
        <v>19286</v>
      </c>
      <c r="BN39" s="73">
        <f t="shared" ref="BN39:BN45" si="6">SUM(B39+D39+F39+H39+J39+L39+N39+P39+R39+T39+V39+X39+Z39+AB39+AD39+AF39+AH39+AJ39+AL39+AN39+AP39+AR39+AT39+AV39+AX39+AZ39+BB39+BD39+BF39+BH39+BJ39+BL39)</f>
        <v>3881193.8369999998</v>
      </c>
      <c r="BO39" s="73">
        <f t="shared" ref="BO39:BO45" si="7">SUM(C39+E39+G39+I39+K39+M39+O39+Q39+S39+U39+W39+Y39+AA39+AC39+AE39+AG39+AI39+AK39+AM39+AO39+AQ39+AS39+AU39+AW39+AY39+BA39+BC39+BE39+BG39+BI39+BK39+BM39)</f>
        <v>11523303.918</v>
      </c>
    </row>
    <row r="40" spans="1:67" x14ac:dyDescent="0.25">
      <c r="A40" s="21" t="s">
        <v>279</v>
      </c>
      <c r="B40" s="84"/>
      <c r="C40" s="84"/>
      <c r="D40" s="84"/>
      <c r="E40" s="84"/>
      <c r="F40" s="84"/>
      <c r="G40" s="84"/>
      <c r="H40" s="84">
        <v>-380988</v>
      </c>
      <c r="I40" s="84">
        <v>1933186</v>
      </c>
      <c r="J40" s="84">
        <v>-8568</v>
      </c>
      <c r="K40" s="84">
        <v>110793</v>
      </c>
      <c r="L40" s="84">
        <v>81858</v>
      </c>
      <c r="M40" s="84">
        <v>81858</v>
      </c>
      <c r="N40" s="84"/>
      <c r="O40" s="84"/>
      <c r="P40" s="84">
        <v>6374</v>
      </c>
      <c r="Q40" s="84">
        <v>6374</v>
      </c>
      <c r="R40" s="84">
        <v>100567</v>
      </c>
      <c r="S40" s="84">
        <v>100567</v>
      </c>
      <c r="T40" s="84">
        <v>7266</v>
      </c>
      <c r="U40" s="84">
        <v>7266</v>
      </c>
      <c r="V40" s="84">
        <v>3123931</v>
      </c>
      <c r="W40" s="84">
        <v>3123931</v>
      </c>
      <c r="X40" s="84">
        <v>3944764</v>
      </c>
      <c r="Y40" s="84">
        <v>3944764</v>
      </c>
      <c r="Z40" s="84">
        <v>-45789</v>
      </c>
      <c r="AA40" s="84">
        <v>171741</v>
      </c>
      <c r="AB40" s="84">
        <v>1710</v>
      </c>
      <c r="AC40" s="84">
        <v>1710</v>
      </c>
      <c r="AD40" s="84">
        <v>176763</v>
      </c>
      <c r="AE40" s="84">
        <v>176763</v>
      </c>
      <c r="AF40" s="84">
        <v>125376</v>
      </c>
      <c r="AG40" s="84">
        <v>125376</v>
      </c>
      <c r="AH40" s="84"/>
      <c r="AI40" s="84"/>
      <c r="AJ40" s="84"/>
      <c r="AK40" s="84"/>
      <c r="AL40" s="84">
        <v>-65902.495427617396</v>
      </c>
      <c r="AM40" s="84">
        <v>2923587.4357474009</v>
      </c>
      <c r="AN40" s="84">
        <v>5584</v>
      </c>
      <c r="AO40" s="84">
        <v>5584</v>
      </c>
      <c r="AP40" s="84">
        <v>-957</v>
      </c>
      <c r="AQ40" s="84">
        <v>891</v>
      </c>
      <c r="AR40" s="84">
        <v>282886</v>
      </c>
      <c r="AS40" s="84">
        <v>282886</v>
      </c>
      <c r="AT40" s="84"/>
      <c r="AU40" s="84"/>
      <c r="AV40" s="84"/>
      <c r="AW40" s="84">
        <v>692035</v>
      </c>
      <c r="AX40" s="84">
        <v>109727</v>
      </c>
      <c r="AY40" s="84">
        <v>109727</v>
      </c>
      <c r="AZ40" s="84">
        <v>122053</v>
      </c>
      <c r="BA40" s="84">
        <v>122053</v>
      </c>
      <c r="BB40" s="84"/>
      <c r="BC40" s="84"/>
      <c r="BD40" s="103">
        <v>91394</v>
      </c>
      <c r="BE40" s="103">
        <v>91394</v>
      </c>
      <c r="BF40" s="84">
        <v>9758981</v>
      </c>
      <c r="BG40" s="84">
        <v>9758981</v>
      </c>
      <c r="BH40" s="103">
        <v>802946</v>
      </c>
      <c r="BI40" s="103">
        <v>4955110</v>
      </c>
      <c r="BJ40" s="103">
        <v>10328297</v>
      </c>
      <c r="BK40" s="103">
        <v>10328297</v>
      </c>
      <c r="BL40" s="103">
        <v>-5945</v>
      </c>
      <c r="BM40" s="103">
        <v>52669</v>
      </c>
      <c r="BN40" s="73">
        <f t="shared" si="6"/>
        <v>28562327.504572384</v>
      </c>
      <c r="BO40" s="73">
        <f t="shared" si="7"/>
        <v>39107543.4357474</v>
      </c>
    </row>
    <row r="41" spans="1:67" x14ac:dyDescent="0.25">
      <c r="A41" s="21" t="s">
        <v>278</v>
      </c>
      <c r="B41" s="84"/>
      <c r="C41" s="84"/>
      <c r="D41" s="84"/>
      <c r="E41" s="84"/>
      <c r="F41" s="84"/>
      <c r="G41" s="84"/>
      <c r="H41" s="84">
        <v>-65060</v>
      </c>
      <c r="I41" s="84">
        <v>2094071</v>
      </c>
      <c r="J41" s="84"/>
      <c r="K41" s="84">
        <v>111065</v>
      </c>
      <c r="L41" s="84">
        <v>98523</v>
      </c>
      <c r="M41" s="84">
        <v>55282</v>
      </c>
      <c r="N41" s="84"/>
      <c r="O41" s="84"/>
      <c r="P41" s="84">
        <v>3456</v>
      </c>
      <c r="Q41" s="84">
        <v>5968</v>
      </c>
      <c r="R41" s="84">
        <v>98335</v>
      </c>
      <c r="S41" s="84">
        <v>106996</v>
      </c>
      <c r="T41" s="84">
        <v>14390</v>
      </c>
      <c r="U41" s="84">
        <v>6542</v>
      </c>
      <c r="V41" s="84">
        <v>-3454855</v>
      </c>
      <c r="W41" s="84">
        <v>-2310386</v>
      </c>
      <c r="X41" s="84">
        <v>4453017</v>
      </c>
      <c r="Y41" s="84">
        <v>4066521</v>
      </c>
      <c r="Z41" s="84"/>
      <c r="AA41" s="84">
        <v>216850</v>
      </c>
      <c r="AB41" s="84">
        <v>1496</v>
      </c>
      <c r="AC41" s="84">
        <v>1023</v>
      </c>
      <c r="AD41" s="84">
        <v>151404</v>
      </c>
      <c r="AE41" s="84">
        <v>190822</v>
      </c>
      <c r="AF41" s="84">
        <v>-132863</v>
      </c>
      <c r="AG41" s="84">
        <v>-106889</v>
      </c>
      <c r="AH41" s="84"/>
      <c r="AI41" s="84"/>
      <c r="AJ41" s="84"/>
      <c r="AK41" s="84"/>
      <c r="AL41" s="84"/>
      <c r="AM41" s="84">
        <v>3093729.2790000001</v>
      </c>
      <c r="AN41" s="84">
        <v>-5239</v>
      </c>
      <c r="AO41" s="84">
        <v>-3845</v>
      </c>
      <c r="AP41" s="84"/>
      <c r="AQ41" s="84">
        <v>870</v>
      </c>
      <c r="AR41" s="84">
        <v>341210</v>
      </c>
      <c r="AS41" s="84">
        <v>416962</v>
      </c>
      <c r="AT41" s="84"/>
      <c r="AU41" s="84"/>
      <c r="AV41" s="84"/>
      <c r="AW41" s="84">
        <v>-837333</v>
      </c>
      <c r="AX41" s="84">
        <v>126687</v>
      </c>
      <c r="AY41" s="84">
        <v>92842</v>
      </c>
      <c r="AZ41" s="84">
        <v>125101</v>
      </c>
      <c r="BA41" s="84">
        <v>110665</v>
      </c>
      <c r="BB41" s="84"/>
      <c r="BC41" s="84"/>
      <c r="BD41" s="103">
        <v>108442</v>
      </c>
      <c r="BE41" s="103">
        <v>92390</v>
      </c>
      <c r="BF41" s="84">
        <v>10007533</v>
      </c>
      <c r="BG41" s="84">
        <v>8404933</v>
      </c>
      <c r="BH41" s="103">
        <v>0</v>
      </c>
      <c r="BI41" s="103">
        <v>3738344</v>
      </c>
      <c r="BJ41" s="103">
        <v>12262823</v>
      </c>
      <c r="BK41" s="103">
        <v>11553793</v>
      </c>
      <c r="BL41" s="103"/>
      <c r="BM41" s="103">
        <v>43219</v>
      </c>
      <c r="BN41" s="73">
        <f t="shared" si="6"/>
        <v>24134400</v>
      </c>
      <c r="BO41" s="73">
        <f t="shared" si="7"/>
        <v>31144434.278999999</v>
      </c>
    </row>
    <row r="42" spans="1:67" x14ac:dyDescent="0.25">
      <c r="A42" s="21" t="s">
        <v>281</v>
      </c>
      <c r="B42" s="84"/>
      <c r="C42" s="84"/>
      <c r="D42" s="84"/>
      <c r="E42" s="84"/>
      <c r="F42" s="84"/>
      <c r="G42" s="84"/>
      <c r="H42" s="84">
        <v>103511</v>
      </c>
      <c r="I42" s="84">
        <v>496025</v>
      </c>
      <c r="J42" s="84"/>
      <c r="K42" s="84"/>
      <c r="L42" s="84">
        <v>41108</v>
      </c>
      <c r="M42" s="84">
        <v>127762</v>
      </c>
      <c r="N42" s="84"/>
      <c r="O42" s="84"/>
      <c r="P42" s="84">
        <v>2918</v>
      </c>
      <c r="Q42" s="84">
        <v>406</v>
      </c>
      <c r="R42" s="84"/>
      <c r="S42" s="84"/>
      <c r="T42" s="84"/>
      <c r="U42" s="84"/>
      <c r="V42" s="84">
        <v>-3609</v>
      </c>
      <c r="W42" s="84">
        <v>1624586</v>
      </c>
      <c r="X42" s="84">
        <v>-105549</v>
      </c>
      <c r="Y42" s="84">
        <v>1358500</v>
      </c>
      <c r="Z42" s="84">
        <v>45951</v>
      </c>
      <c r="AA42" s="84">
        <v>344641</v>
      </c>
      <c r="AB42" s="84">
        <v>214</v>
      </c>
      <c r="AC42" s="84">
        <v>1037</v>
      </c>
      <c r="AD42" s="84">
        <v>56308</v>
      </c>
      <c r="AE42" s="84">
        <v>108412</v>
      </c>
      <c r="AF42" s="84">
        <v>591</v>
      </c>
      <c r="AG42" s="84">
        <v>47678</v>
      </c>
      <c r="AH42" s="84"/>
      <c r="AI42" s="84"/>
      <c r="AJ42" s="84"/>
      <c r="AK42" s="84"/>
      <c r="AL42" s="84"/>
      <c r="AM42" s="84"/>
      <c r="AN42" s="84">
        <v>345</v>
      </c>
      <c r="AO42" s="84">
        <v>1739</v>
      </c>
      <c r="AP42" s="84">
        <v>1405</v>
      </c>
      <c r="AQ42" s="84">
        <v>2428</v>
      </c>
      <c r="AR42" s="84"/>
      <c r="AS42" s="84"/>
      <c r="AT42" s="84"/>
      <c r="AU42" s="84"/>
      <c r="AV42" s="84">
        <v>43979</v>
      </c>
      <c r="AW42" s="84">
        <v>48009</v>
      </c>
      <c r="AX42" s="84"/>
      <c r="AY42" s="84"/>
      <c r="AZ42" s="84"/>
      <c r="BA42" s="84"/>
      <c r="BB42" s="84"/>
      <c r="BC42" s="84"/>
      <c r="BD42" s="103">
        <v>114599</v>
      </c>
      <c r="BE42" s="103">
        <v>255755</v>
      </c>
      <c r="BF42" s="84">
        <v>457953</v>
      </c>
      <c r="BG42" s="84">
        <v>3876665</v>
      </c>
      <c r="BH42" s="103">
        <v>1386281</v>
      </c>
      <c r="BI42" s="103">
        <v>2273925</v>
      </c>
      <c r="BJ42" s="103">
        <v>-1408354</v>
      </c>
      <c r="BK42" s="103">
        <v>236406</v>
      </c>
      <c r="BL42" s="103">
        <v>1457</v>
      </c>
      <c r="BM42" s="103">
        <v>28736</v>
      </c>
      <c r="BN42" s="73">
        <f t="shared" si="6"/>
        <v>739108</v>
      </c>
      <c r="BO42" s="73">
        <f t="shared" si="7"/>
        <v>10832710</v>
      </c>
    </row>
    <row r="43" spans="1:67" x14ac:dyDescent="0.25">
      <c r="A43" s="21" t="s">
        <v>276</v>
      </c>
      <c r="B43" s="84"/>
      <c r="C43" s="84"/>
      <c r="D43" s="84"/>
      <c r="E43" s="84"/>
      <c r="F43" s="84"/>
      <c r="G43" s="84"/>
      <c r="H43" s="84">
        <v>1194</v>
      </c>
      <c r="I43" s="84">
        <v>4865</v>
      </c>
      <c r="J43" s="84">
        <v>376</v>
      </c>
      <c r="K43" s="84">
        <v>2693</v>
      </c>
      <c r="L43" s="84">
        <v>71</v>
      </c>
      <c r="M43" s="84">
        <v>138</v>
      </c>
      <c r="N43" s="84"/>
      <c r="O43" s="84"/>
      <c r="P43" s="84">
        <v>18</v>
      </c>
      <c r="Q43" s="84">
        <v>35</v>
      </c>
      <c r="R43" s="84">
        <v>52</v>
      </c>
      <c r="S43" s="84">
        <v>2016</v>
      </c>
      <c r="T43" s="84">
        <v>49</v>
      </c>
      <c r="U43" s="84">
        <v>51</v>
      </c>
      <c r="V43" s="84">
        <v>10200</v>
      </c>
      <c r="W43" s="84">
        <v>26540</v>
      </c>
      <c r="X43" s="84">
        <v>25388</v>
      </c>
      <c r="Y43" s="84">
        <v>194126</v>
      </c>
      <c r="Z43" s="84">
        <v>7512</v>
      </c>
      <c r="AA43" s="84">
        <v>9849</v>
      </c>
      <c r="AB43" s="84">
        <v>18</v>
      </c>
      <c r="AC43" s="84">
        <v>35</v>
      </c>
      <c r="AD43" s="84">
        <v>38</v>
      </c>
      <c r="AE43" s="84">
        <v>74</v>
      </c>
      <c r="AF43" s="84">
        <v>19</v>
      </c>
      <c r="AG43" s="84">
        <v>47</v>
      </c>
      <c r="AH43" s="84"/>
      <c r="AI43" s="84"/>
      <c r="AJ43" s="84"/>
      <c r="AK43" s="84"/>
      <c r="AL43" s="84">
        <v>36893.665999999997</v>
      </c>
      <c r="AM43" s="84">
        <v>112682.981</v>
      </c>
      <c r="AN43" s="84">
        <v>4</v>
      </c>
      <c r="AO43" s="84">
        <v>7</v>
      </c>
      <c r="AP43" s="84">
        <v>2</v>
      </c>
      <c r="AQ43" s="84">
        <v>4</v>
      </c>
      <c r="AR43" s="84">
        <v>7557</v>
      </c>
      <c r="AS43" s="84">
        <v>14864</v>
      </c>
      <c r="AT43" s="84"/>
      <c r="AU43" s="84"/>
      <c r="AV43" s="84">
        <v>1049</v>
      </c>
      <c r="AW43" s="84">
        <v>6619</v>
      </c>
      <c r="AX43" s="84">
        <v>28</v>
      </c>
      <c r="AY43" s="84">
        <v>55</v>
      </c>
      <c r="AZ43" s="84">
        <v>37</v>
      </c>
      <c r="BA43" s="84">
        <v>94</v>
      </c>
      <c r="BB43" s="84"/>
      <c r="BC43" s="84"/>
      <c r="BD43" s="103">
        <v>64</v>
      </c>
      <c r="BE43" s="103">
        <v>14318</v>
      </c>
      <c r="BF43" s="84">
        <v>-91392</v>
      </c>
      <c r="BG43" s="84">
        <v>381937</v>
      </c>
      <c r="BH43" s="103">
        <v>29791</v>
      </c>
      <c r="BI43" s="103">
        <v>783700</v>
      </c>
      <c r="BJ43" s="103">
        <v>99170</v>
      </c>
      <c r="BK43" s="103">
        <v>87223</v>
      </c>
      <c r="BL43" s="103">
        <v>18</v>
      </c>
      <c r="BM43" s="103">
        <v>35</v>
      </c>
      <c r="BN43" s="73">
        <f t="shared" si="6"/>
        <v>128156.666</v>
      </c>
      <c r="BO43" s="73">
        <f t="shared" si="7"/>
        <v>1642007.9810000001</v>
      </c>
    </row>
    <row r="44" spans="1:67" x14ac:dyDescent="0.25">
      <c r="A44" s="21" t="s">
        <v>277</v>
      </c>
      <c r="B44" s="84"/>
      <c r="C44" s="84"/>
      <c r="D44" s="84"/>
      <c r="E44" s="84"/>
      <c r="F44" s="84"/>
      <c r="G44" s="84"/>
      <c r="H44" s="84">
        <v>121940</v>
      </c>
      <c r="I44" s="84">
        <v>432484</v>
      </c>
      <c r="J44" s="84">
        <v>90265</v>
      </c>
      <c r="K44" s="84">
        <v>144297</v>
      </c>
      <c r="L44" s="84">
        <v>32524</v>
      </c>
      <c r="M44" s="84">
        <v>42956</v>
      </c>
      <c r="N44" s="84"/>
      <c r="O44" s="84"/>
      <c r="P44" s="84">
        <v>1700</v>
      </c>
      <c r="Q44" s="84">
        <v>-3283</v>
      </c>
      <c r="R44" s="84">
        <v>28861</v>
      </c>
      <c r="S44" s="84">
        <v>84127</v>
      </c>
      <c r="T44" s="84">
        <v>2412</v>
      </c>
      <c r="U44" s="84">
        <v>5025</v>
      </c>
      <c r="V44" s="84">
        <v>-171770</v>
      </c>
      <c r="W44" s="84">
        <v>-375495</v>
      </c>
      <c r="X44" s="84">
        <v>268540</v>
      </c>
      <c r="Y44" s="84">
        <v>1150577</v>
      </c>
      <c r="Z44" s="84">
        <v>66830</v>
      </c>
      <c r="AA44" s="84">
        <v>274923</v>
      </c>
      <c r="AB44" s="84"/>
      <c r="AC44" s="84">
        <v>279</v>
      </c>
      <c r="AD44" s="84">
        <v>16689</v>
      </c>
      <c r="AE44" s="84">
        <v>78674</v>
      </c>
      <c r="AF44" s="84">
        <v>-6011</v>
      </c>
      <c r="AG44" s="84">
        <v>-20724</v>
      </c>
      <c r="AH44" s="84"/>
      <c r="AI44" s="84"/>
      <c r="AJ44" s="84"/>
      <c r="AK44" s="84"/>
      <c r="AL44" s="84">
        <v>23765.580999999998</v>
      </c>
      <c r="AM44" s="84">
        <v>58707.74</v>
      </c>
      <c r="AN44" s="84"/>
      <c r="AO44" s="84"/>
      <c r="AP44" s="84">
        <v>1807</v>
      </c>
      <c r="AQ44" s="84">
        <v>1840</v>
      </c>
      <c r="AR44" s="84">
        <v>96010</v>
      </c>
      <c r="AS44" s="84">
        <v>966534</v>
      </c>
      <c r="AT44" s="84"/>
      <c r="AU44" s="84"/>
      <c r="AV44" s="84">
        <v>-39646</v>
      </c>
      <c r="AW44" s="84">
        <v>-178242</v>
      </c>
      <c r="AX44" s="84">
        <v>17057</v>
      </c>
      <c r="AY44" s="84">
        <v>35243</v>
      </c>
      <c r="AZ44" s="84">
        <v>1806</v>
      </c>
      <c r="BA44" s="84">
        <v>22922</v>
      </c>
      <c r="BB44" s="84"/>
      <c r="BC44" s="84"/>
      <c r="BD44" s="103">
        <v>119291</v>
      </c>
      <c r="BE44" s="103">
        <v>246214</v>
      </c>
      <c r="BF44" s="84">
        <v>233143</v>
      </c>
      <c r="BG44" s="84">
        <v>829247</v>
      </c>
      <c r="BH44" s="103">
        <v>255829</v>
      </c>
      <c r="BI44" s="103">
        <v>447913</v>
      </c>
      <c r="BJ44" s="103">
        <v>-1153279</v>
      </c>
      <c r="BK44" s="103">
        <v>-1089472</v>
      </c>
      <c r="BL44" s="103">
        <v>6778</v>
      </c>
      <c r="BM44" s="103">
        <v>11403</v>
      </c>
      <c r="BN44" s="73">
        <f t="shared" si="6"/>
        <v>14541.581000000006</v>
      </c>
      <c r="BO44" s="73">
        <f t="shared" si="7"/>
        <v>3166149.74</v>
      </c>
    </row>
    <row r="45" spans="1:67" x14ac:dyDescent="0.25">
      <c r="A45" s="21" t="s">
        <v>273</v>
      </c>
      <c r="B45" s="84"/>
      <c r="C45" s="84"/>
      <c r="D45" s="84"/>
      <c r="E45" s="84"/>
      <c r="F45" s="84"/>
      <c r="G45" s="84"/>
      <c r="H45" s="84">
        <v>369</v>
      </c>
      <c r="I45" s="84">
        <v>86010</v>
      </c>
      <c r="J45" s="84">
        <v>3978</v>
      </c>
      <c r="K45" s="84">
        <v>30463</v>
      </c>
      <c r="L45" s="84">
        <v>8655</v>
      </c>
      <c r="M45" s="84">
        <v>84944</v>
      </c>
      <c r="N45" s="84"/>
      <c r="O45" s="84"/>
      <c r="P45" s="84">
        <v>1236</v>
      </c>
      <c r="Q45" s="84">
        <v>3724</v>
      </c>
      <c r="R45" s="84">
        <v>7709</v>
      </c>
      <c r="S45" s="84">
        <v>13171</v>
      </c>
      <c r="T45" s="84">
        <v>-6492</v>
      </c>
      <c r="U45" s="84">
        <v>1778</v>
      </c>
      <c r="V45" s="84">
        <v>126211</v>
      </c>
      <c r="W45" s="84">
        <v>662440</v>
      </c>
      <c r="X45" s="84">
        <v>104527</v>
      </c>
      <c r="Y45" s="84">
        <v>668257</v>
      </c>
      <c r="Z45" s="84">
        <v>-13367</v>
      </c>
      <c r="AA45" s="84">
        <v>79567</v>
      </c>
      <c r="AB45" s="84">
        <v>232</v>
      </c>
      <c r="AC45" s="84">
        <v>793</v>
      </c>
      <c r="AD45" s="84">
        <v>19207</v>
      </c>
      <c r="AE45" s="84">
        <v>46935</v>
      </c>
      <c r="AF45" s="84">
        <v>-1324</v>
      </c>
      <c r="AG45" s="84">
        <v>3027</v>
      </c>
      <c r="AH45" s="84"/>
      <c r="AI45" s="84"/>
      <c r="AJ45" s="84"/>
      <c r="AK45" s="84"/>
      <c r="AL45" s="84">
        <v>280650.42657238251</v>
      </c>
      <c r="AM45" s="84">
        <v>683426.31574740075</v>
      </c>
      <c r="AN45" s="84">
        <v>14</v>
      </c>
      <c r="AO45" s="84">
        <v>71</v>
      </c>
      <c r="AP45" s="84">
        <v>-400</v>
      </c>
      <c r="AQ45" s="84">
        <v>592</v>
      </c>
      <c r="AR45" s="84">
        <v>-2738</v>
      </c>
      <c r="AS45" s="84">
        <v>69274</v>
      </c>
      <c r="AT45" s="84"/>
      <c r="AU45" s="84"/>
      <c r="AV45" s="84">
        <v>12051</v>
      </c>
      <c r="AW45" s="84">
        <v>49713</v>
      </c>
      <c r="AX45" s="84">
        <v>2647</v>
      </c>
      <c r="AY45" s="84">
        <v>72750</v>
      </c>
      <c r="AZ45" s="84">
        <v>19065</v>
      </c>
      <c r="BA45" s="84">
        <v>81535</v>
      </c>
      <c r="BB45" s="84"/>
      <c r="BC45" s="84"/>
      <c r="BD45" s="103">
        <v>-4628</v>
      </c>
      <c r="BE45" s="103">
        <v>23859</v>
      </c>
      <c r="BF45" s="84">
        <v>608711</v>
      </c>
      <c r="BG45" s="84">
        <v>3469082</v>
      </c>
      <c r="BH45" s="103">
        <v>1160243</v>
      </c>
      <c r="BI45" s="103">
        <v>2609712</v>
      </c>
      <c r="BJ45" s="103">
        <v>-155905</v>
      </c>
      <c r="BK45" s="103">
        <v>1413101</v>
      </c>
      <c r="BL45" s="103">
        <v>-5303</v>
      </c>
      <c r="BM45" s="103">
        <v>17368</v>
      </c>
      <c r="BN45" s="73">
        <f t="shared" si="6"/>
        <v>2165348.4265723825</v>
      </c>
      <c r="BO45" s="73">
        <f t="shared" si="7"/>
        <v>10171592.315747401</v>
      </c>
    </row>
    <row r="46" spans="1:67" x14ac:dyDescent="0.25">
      <c r="A46" s="29"/>
    </row>
    <row r="47" spans="1:67" x14ac:dyDescent="0.25">
      <c r="A47" s="30" t="s">
        <v>220</v>
      </c>
    </row>
    <row r="48" spans="1:67" x14ac:dyDescent="0.25">
      <c r="A48" s="3" t="s">
        <v>0</v>
      </c>
      <c r="B48" s="119" t="s">
        <v>1</v>
      </c>
      <c r="C48" s="120"/>
      <c r="D48" s="119" t="s">
        <v>282</v>
      </c>
      <c r="E48" s="120"/>
      <c r="F48" s="119" t="s">
        <v>2</v>
      </c>
      <c r="G48" s="120"/>
      <c r="H48" s="119" t="s">
        <v>3</v>
      </c>
      <c r="I48" s="120"/>
      <c r="J48" s="119" t="s">
        <v>4</v>
      </c>
      <c r="K48" s="120"/>
      <c r="L48" s="119" t="s">
        <v>283</v>
      </c>
      <c r="M48" s="120"/>
      <c r="N48" s="119" t="s">
        <v>6</v>
      </c>
      <c r="O48" s="120"/>
      <c r="P48" s="119" t="s">
        <v>5</v>
      </c>
      <c r="Q48" s="120"/>
      <c r="R48" s="119" t="s">
        <v>7</v>
      </c>
      <c r="S48" s="120"/>
      <c r="T48" s="119" t="s">
        <v>284</v>
      </c>
      <c r="U48" s="120"/>
      <c r="V48" s="119" t="s">
        <v>8</v>
      </c>
      <c r="W48" s="120"/>
      <c r="X48" s="119" t="s">
        <v>9</v>
      </c>
      <c r="Y48" s="120"/>
      <c r="Z48" s="119" t="s">
        <v>10</v>
      </c>
      <c r="AA48" s="120"/>
      <c r="AB48" s="119" t="s">
        <v>293</v>
      </c>
      <c r="AC48" s="120"/>
      <c r="AD48" s="119" t="s">
        <v>11</v>
      </c>
      <c r="AE48" s="120"/>
      <c r="AF48" s="119" t="s">
        <v>12</v>
      </c>
      <c r="AG48" s="120"/>
      <c r="AH48" s="119" t="s">
        <v>285</v>
      </c>
      <c r="AI48" s="120"/>
      <c r="AJ48" s="119" t="s">
        <v>290</v>
      </c>
      <c r="AK48" s="120"/>
      <c r="AL48" s="119" t="s">
        <v>13</v>
      </c>
      <c r="AM48" s="120"/>
      <c r="AN48" s="119" t="s">
        <v>286</v>
      </c>
      <c r="AO48" s="120"/>
      <c r="AP48" s="119" t="s">
        <v>287</v>
      </c>
      <c r="AQ48" s="120"/>
      <c r="AR48" s="119" t="s">
        <v>291</v>
      </c>
      <c r="AS48" s="120"/>
      <c r="AT48" s="119" t="s">
        <v>294</v>
      </c>
      <c r="AU48" s="120"/>
      <c r="AV48" s="119" t="s">
        <v>14</v>
      </c>
      <c r="AW48" s="120"/>
      <c r="AX48" s="119" t="s">
        <v>15</v>
      </c>
      <c r="AY48" s="120"/>
      <c r="AZ48" s="119" t="s">
        <v>16</v>
      </c>
      <c r="BA48" s="120"/>
      <c r="BB48" s="119" t="s">
        <v>17</v>
      </c>
      <c r="BC48" s="120"/>
      <c r="BD48" s="119" t="s">
        <v>18</v>
      </c>
      <c r="BE48" s="120"/>
      <c r="BF48" s="119" t="s">
        <v>288</v>
      </c>
      <c r="BG48" s="120"/>
      <c r="BH48" s="119" t="s">
        <v>289</v>
      </c>
      <c r="BI48" s="120"/>
      <c r="BJ48" s="119" t="s">
        <v>19</v>
      </c>
      <c r="BK48" s="120"/>
      <c r="BL48" s="119" t="s">
        <v>20</v>
      </c>
      <c r="BM48" s="120"/>
      <c r="BN48" s="121" t="s">
        <v>21</v>
      </c>
      <c r="BO48" s="122"/>
    </row>
    <row r="49" spans="1:67" ht="30" x14ac:dyDescent="0.25">
      <c r="A49" s="3"/>
      <c r="B49" s="57" t="s">
        <v>296</v>
      </c>
      <c r="C49" s="58" t="s">
        <v>297</v>
      </c>
      <c r="D49" s="57" t="s">
        <v>296</v>
      </c>
      <c r="E49" s="58" t="s">
        <v>297</v>
      </c>
      <c r="F49" s="57" t="s">
        <v>296</v>
      </c>
      <c r="G49" s="58" t="s">
        <v>297</v>
      </c>
      <c r="H49" s="57" t="s">
        <v>296</v>
      </c>
      <c r="I49" s="58" t="s">
        <v>297</v>
      </c>
      <c r="J49" s="57" t="s">
        <v>296</v>
      </c>
      <c r="K49" s="58" t="s">
        <v>297</v>
      </c>
      <c r="L49" s="57" t="s">
        <v>296</v>
      </c>
      <c r="M49" s="58" t="s">
        <v>297</v>
      </c>
      <c r="N49" s="57" t="s">
        <v>296</v>
      </c>
      <c r="O49" s="58" t="s">
        <v>297</v>
      </c>
      <c r="P49" s="57" t="s">
        <v>296</v>
      </c>
      <c r="Q49" s="58" t="s">
        <v>297</v>
      </c>
      <c r="R49" s="57" t="s">
        <v>296</v>
      </c>
      <c r="S49" s="58" t="s">
        <v>297</v>
      </c>
      <c r="T49" s="57" t="s">
        <v>296</v>
      </c>
      <c r="U49" s="58" t="s">
        <v>297</v>
      </c>
      <c r="V49" s="57" t="s">
        <v>296</v>
      </c>
      <c r="W49" s="58" t="s">
        <v>297</v>
      </c>
      <c r="X49" s="57" t="s">
        <v>296</v>
      </c>
      <c r="Y49" s="58" t="s">
        <v>297</v>
      </c>
      <c r="Z49" s="57" t="s">
        <v>296</v>
      </c>
      <c r="AA49" s="58" t="s">
        <v>297</v>
      </c>
      <c r="AB49" s="57" t="s">
        <v>296</v>
      </c>
      <c r="AC49" s="58" t="s">
        <v>297</v>
      </c>
      <c r="AD49" s="57" t="s">
        <v>296</v>
      </c>
      <c r="AE49" s="58" t="s">
        <v>297</v>
      </c>
      <c r="AF49" s="57" t="s">
        <v>296</v>
      </c>
      <c r="AG49" s="58" t="s">
        <v>297</v>
      </c>
      <c r="AH49" s="57" t="s">
        <v>296</v>
      </c>
      <c r="AI49" s="58" t="s">
        <v>297</v>
      </c>
      <c r="AJ49" s="57" t="s">
        <v>296</v>
      </c>
      <c r="AK49" s="58" t="s">
        <v>297</v>
      </c>
      <c r="AL49" s="57" t="s">
        <v>296</v>
      </c>
      <c r="AM49" s="58" t="s">
        <v>297</v>
      </c>
      <c r="AN49" s="57" t="s">
        <v>296</v>
      </c>
      <c r="AO49" s="58" t="s">
        <v>297</v>
      </c>
      <c r="AP49" s="57" t="s">
        <v>296</v>
      </c>
      <c r="AQ49" s="58" t="s">
        <v>297</v>
      </c>
      <c r="AR49" s="57" t="s">
        <v>296</v>
      </c>
      <c r="AS49" s="58" t="s">
        <v>297</v>
      </c>
      <c r="AT49" s="57" t="s">
        <v>296</v>
      </c>
      <c r="AU49" s="58" t="s">
        <v>297</v>
      </c>
      <c r="AV49" s="57" t="s">
        <v>296</v>
      </c>
      <c r="AW49" s="58" t="s">
        <v>297</v>
      </c>
      <c r="AX49" s="57" t="s">
        <v>296</v>
      </c>
      <c r="AY49" s="58" t="s">
        <v>297</v>
      </c>
      <c r="AZ49" s="57" t="s">
        <v>296</v>
      </c>
      <c r="BA49" s="58" t="s">
        <v>297</v>
      </c>
      <c r="BB49" s="57" t="s">
        <v>296</v>
      </c>
      <c r="BC49" s="58" t="s">
        <v>297</v>
      </c>
      <c r="BD49" s="57" t="s">
        <v>296</v>
      </c>
      <c r="BE49" s="58" t="s">
        <v>297</v>
      </c>
      <c r="BF49" s="57" t="s">
        <v>296</v>
      </c>
      <c r="BG49" s="58" t="s">
        <v>297</v>
      </c>
      <c r="BH49" s="57" t="s">
        <v>296</v>
      </c>
      <c r="BI49" s="58" t="s">
        <v>297</v>
      </c>
      <c r="BJ49" s="57" t="s">
        <v>296</v>
      </c>
      <c r="BK49" s="58" t="s">
        <v>297</v>
      </c>
      <c r="BL49" s="57" t="s">
        <v>296</v>
      </c>
      <c r="BM49" s="58" t="s">
        <v>297</v>
      </c>
      <c r="BN49" s="57" t="s">
        <v>296</v>
      </c>
      <c r="BO49" s="58" t="s">
        <v>297</v>
      </c>
    </row>
    <row r="50" spans="1:67" x14ac:dyDescent="0.25">
      <c r="A50" s="21" t="s">
        <v>228</v>
      </c>
      <c r="B50" s="84">
        <v>328596</v>
      </c>
      <c r="C50" s="84">
        <v>617040</v>
      </c>
      <c r="D50" s="76">
        <v>1632529</v>
      </c>
      <c r="E50" s="84">
        <v>4127849</v>
      </c>
      <c r="F50" s="84"/>
      <c r="G50" s="84"/>
      <c r="H50" s="84">
        <v>4820924</v>
      </c>
      <c r="I50" s="84">
        <v>14198366</v>
      </c>
      <c r="J50" s="84">
        <v>742805</v>
      </c>
      <c r="K50" s="84">
        <v>2036364</v>
      </c>
      <c r="L50" s="84">
        <v>1390358</v>
      </c>
      <c r="M50" s="84">
        <v>3295198</v>
      </c>
      <c r="N50" s="84"/>
      <c r="O50" s="84"/>
      <c r="P50" s="84">
        <v>233552</v>
      </c>
      <c r="Q50" s="84">
        <v>620329</v>
      </c>
      <c r="R50" s="84">
        <v>1151916</v>
      </c>
      <c r="S50" s="84">
        <v>3584877</v>
      </c>
      <c r="T50" s="84">
        <v>154426</v>
      </c>
      <c r="U50" s="84">
        <v>546662</v>
      </c>
      <c r="V50" s="84">
        <v>7608199</v>
      </c>
      <c r="W50" s="84">
        <v>24429451</v>
      </c>
      <c r="X50" s="84">
        <v>7004411</v>
      </c>
      <c r="Y50" s="84">
        <v>18674307</v>
      </c>
      <c r="Z50" s="84">
        <v>5086632</v>
      </c>
      <c r="AA50" s="84">
        <v>15516884</v>
      </c>
      <c r="AB50" s="84">
        <v>237691</v>
      </c>
      <c r="AC50" s="84">
        <v>573067</v>
      </c>
      <c r="AD50" s="84">
        <v>494740</v>
      </c>
      <c r="AE50" s="84">
        <v>1813949</v>
      </c>
      <c r="AF50" s="84">
        <v>102956</v>
      </c>
      <c r="AG50" s="84">
        <v>232364</v>
      </c>
      <c r="AH50" s="103">
        <v>1277032</v>
      </c>
      <c r="AI50" s="103">
        <v>3730245</v>
      </c>
      <c r="AJ50" s="84">
        <v>2824903</v>
      </c>
      <c r="AK50" s="84">
        <v>6427475</v>
      </c>
      <c r="AL50" s="84">
        <v>18297040.451000001</v>
      </c>
      <c r="AM50" s="84">
        <v>49074829.986000001</v>
      </c>
      <c r="AN50" s="84">
        <v>11547</v>
      </c>
      <c r="AO50" s="84">
        <v>76484</v>
      </c>
      <c r="AP50" s="84">
        <v>56482</v>
      </c>
      <c r="AQ50" s="84">
        <v>58142</v>
      </c>
      <c r="AR50" s="84">
        <v>2698069</v>
      </c>
      <c r="AS50" s="84">
        <v>9378195</v>
      </c>
      <c r="AT50" s="84">
        <v>4373626</v>
      </c>
      <c r="AU50" s="84">
        <v>10662351</v>
      </c>
      <c r="AV50" s="84">
        <v>829461</v>
      </c>
      <c r="AW50" s="84">
        <v>2406092</v>
      </c>
      <c r="AX50" s="84">
        <v>2610331</v>
      </c>
      <c r="AY50" s="84">
        <v>6708491</v>
      </c>
      <c r="AZ50" s="84">
        <v>1676</v>
      </c>
      <c r="BA50" s="84">
        <v>2247</v>
      </c>
      <c r="BB50" s="84"/>
      <c r="BC50" s="84"/>
      <c r="BD50" s="103">
        <v>1886769</v>
      </c>
      <c r="BE50" s="103">
        <v>4844675</v>
      </c>
      <c r="BF50" s="84">
        <v>31898648</v>
      </c>
      <c r="BG50" s="84">
        <v>92852832</v>
      </c>
      <c r="BH50" s="103">
        <v>20740807</v>
      </c>
      <c r="BI50" s="103">
        <v>52693405</v>
      </c>
      <c r="BJ50" s="103">
        <v>19119152</v>
      </c>
      <c r="BK50" s="103">
        <v>57224623</v>
      </c>
      <c r="BL50" s="103">
        <v>796792</v>
      </c>
      <c r="BM50" s="103">
        <v>1956923</v>
      </c>
      <c r="BN50" s="73">
        <f t="shared" ref="BN50:BN56" si="8">SUM(B50+D50+F50+H50+J50+L50+N50+P50+R50+T50+V50+X50+Z50+AB50+AD50+AF50+AH50+AJ50+AL50+AN50+AP50+AR50+AT50+AV50+AX50+AZ50+BB50+BD50+BF50+BH50+BJ50+BL50)</f>
        <v>138412070.45100001</v>
      </c>
      <c r="BO50" s="73">
        <f t="shared" ref="BO50:BO56" si="9">SUM(C50+E50+G50+I50+K50+M50+O50+Q50+S50+U50+W50+Y50+AA50+AC50+AE50+AG50+AI50+AK50+AM50+AO50+AQ50+AS50+AU50+AW50+AY50+BA50+BC50+BE50+BG50+BI50+BK50+BM50)</f>
        <v>388363716.986</v>
      </c>
    </row>
    <row r="51" spans="1:67" x14ac:dyDescent="0.25">
      <c r="A51" s="21" t="s">
        <v>279</v>
      </c>
      <c r="B51" s="84">
        <v>136066</v>
      </c>
      <c r="C51" s="84">
        <v>136066</v>
      </c>
      <c r="D51" s="84">
        <v>1313575</v>
      </c>
      <c r="E51" s="84">
        <v>1313575</v>
      </c>
      <c r="F51" s="84"/>
      <c r="G51" s="84"/>
      <c r="H51" s="84">
        <v>-997933</v>
      </c>
      <c r="I51" s="84">
        <v>4725010</v>
      </c>
      <c r="J51" s="84">
        <v>-24642</v>
      </c>
      <c r="K51" s="84">
        <v>824312</v>
      </c>
      <c r="L51" s="84">
        <v>812527</v>
      </c>
      <c r="M51" s="84">
        <v>812527</v>
      </c>
      <c r="N51" s="84"/>
      <c r="O51" s="84"/>
      <c r="P51" s="84">
        <v>162907</v>
      </c>
      <c r="Q51" s="84">
        <v>162907</v>
      </c>
      <c r="R51" s="84">
        <v>840496</v>
      </c>
      <c r="S51" s="84">
        <v>840496</v>
      </c>
      <c r="T51" s="84">
        <v>313942</v>
      </c>
      <c r="U51" s="84">
        <v>313942</v>
      </c>
      <c r="V51" s="84">
        <v>8934078</v>
      </c>
      <c r="W51" s="84">
        <v>8934078</v>
      </c>
      <c r="X51" s="84">
        <v>9113462</v>
      </c>
      <c r="Y51" s="84">
        <v>9113462</v>
      </c>
      <c r="Z51" s="84">
        <v>-198956</v>
      </c>
      <c r="AA51" s="84">
        <v>2099582</v>
      </c>
      <c r="AB51" s="84">
        <v>256499</v>
      </c>
      <c r="AC51" s="84">
        <v>256499</v>
      </c>
      <c r="AD51" s="84">
        <v>481636</v>
      </c>
      <c r="AE51" s="84">
        <v>481636</v>
      </c>
      <c r="AF51" s="84">
        <v>189376</v>
      </c>
      <c r="AG51" s="84">
        <v>189376</v>
      </c>
      <c r="AH51" s="103">
        <v>923866</v>
      </c>
      <c r="AI51" s="103">
        <v>923866</v>
      </c>
      <c r="AJ51" s="84">
        <v>2733618</v>
      </c>
      <c r="AK51" s="84">
        <v>2733618</v>
      </c>
      <c r="AL51" s="84">
        <v>-1050525.0941763178</v>
      </c>
      <c r="AM51" s="84">
        <v>9201924.1258623935</v>
      </c>
      <c r="AN51" s="84">
        <v>91612</v>
      </c>
      <c r="AO51" s="84">
        <v>91612</v>
      </c>
      <c r="AP51" s="84">
        <v>-17078</v>
      </c>
      <c r="AQ51" s="84">
        <v>60311</v>
      </c>
      <c r="AR51" s="84">
        <v>3170742</v>
      </c>
      <c r="AS51" s="84">
        <v>3170742</v>
      </c>
      <c r="AT51" s="84">
        <v>3346120</v>
      </c>
      <c r="AU51" s="84">
        <v>3346120</v>
      </c>
      <c r="AV51" s="84"/>
      <c r="AW51" s="84">
        <v>1047496</v>
      </c>
      <c r="AX51" s="84">
        <v>2442191</v>
      </c>
      <c r="AY51" s="84">
        <v>2442191</v>
      </c>
      <c r="AZ51" s="84">
        <v>6912</v>
      </c>
      <c r="BA51" s="84">
        <v>6912</v>
      </c>
      <c r="BB51" s="84"/>
      <c r="BC51" s="84"/>
      <c r="BD51" s="103">
        <v>2867957</v>
      </c>
      <c r="BE51" s="103">
        <v>2867957</v>
      </c>
      <c r="BF51" s="84">
        <v>17921671</v>
      </c>
      <c r="BG51" s="84">
        <v>17921671</v>
      </c>
      <c r="BH51" s="103">
        <v>-3126254</v>
      </c>
      <c r="BI51" s="103">
        <v>10395577</v>
      </c>
      <c r="BJ51" s="103">
        <v>14401963</v>
      </c>
      <c r="BK51" s="103">
        <v>14401963</v>
      </c>
      <c r="BL51" s="103">
        <v>-232439</v>
      </c>
      <c r="BM51" s="103">
        <v>323757</v>
      </c>
      <c r="BN51" s="73">
        <f t="shared" si="8"/>
        <v>64813388.905823678</v>
      </c>
      <c r="BO51" s="73">
        <f t="shared" si="9"/>
        <v>99139185.12586239</v>
      </c>
    </row>
    <row r="52" spans="1:67" x14ac:dyDescent="0.25">
      <c r="A52" s="21" t="s">
        <v>278</v>
      </c>
      <c r="B52" s="84">
        <v>173438</v>
      </c>
      <c r="C52" s="84">
        <v>40600</v>
      </c>
      <c r="D52" s="84">
        <v>1220799</v>
      </c>
      <c r="E52" s="84">
        <v>611574</v>
      </c>
      <c r="F52" s="84"/>
      <c r="G52" s="84"/>
      <c r="H52" s="84">
        <v>-716354</v>
      </c>
      <c r="I52" s="84">
        <v>3375670</v>
      </c>
      <c r="J52" s="84"/>
      <c r="K52" s="84">
        <v>799396</v>
      </c>
      <c r="L52" s="84">
        <v>969068</v>
      </c>
      <c r="M52" s="84">
        <v>329385</v>
      </c>
      <c r="N52" s="84"/>
      <c r="O52" s="84"/>
      <c r="P52" s="84">
        <v>194466</v>
      </c>
      <c r="Q52" s="84">
        <v>280485</v>
      </c>
      <c r="R52" s="84">
        <v>1189169</v>
      </c>
      <c r="S52" s="84">
        <v>360641</v>
      </c>
      <c r="T52" s="84">
        <v>231793</v>
      </c>
      <c r="U52" s="84">
        <v>47630</v>
      </c>
      <c r="V52" s="84">
        <v>-9925736</v>
      </c>
      <c r="W52" s="84">
        <v>-5395112</v>
      </c>
      <c r="X52" s="84">
        <v>11498737</v>
      </c>
      <c r="Y52" s="84">
        <v>6697688</v>
      </c>
      <c r="Z52" s="84"/>
      <c r="AA52" s="84">
        <v>1494294</v>
      </c>
      <c r="AB52" s="84">
        <v>270539</v>
      </c>
      <c r="AC52" s="84">
        <v>97081</v>
      </c>
      <c r="AD52" s="84">
        <v>485370</v>
      </c>
      <c r="AE52" s="84">
        <v>419436</v>
      </c>
      <c r="AF52" s="84">
        <v>-210326</v>
      </c>
      <c r="AG52" s="84">
        <v>-93693</v>
      </c>
      <c r="AH52" s="103">
        <v>883470</v>
      </c>
      <c r="AI52" s="103">
        <v>610988</v>
      </c>
      <c r="AJ52" s="84">
        <v>3239568</v>
      </c>
      <c r="AK52" s="84">
        <v>1165551</v>
      </c>
      <c r="AL52" s="84"/>
      <c r="AM52" s="84">
        <v>7184477.1066505006</v>
      </c>
      <c r="AN52" s="84">
        <v>-92795</v>
      </c>
      <c r="AO52" s="84">
        <v>-111758</v>
      </c>
      <c r="AP52" s="84"/>
      <c r="AQ52" s="84">
        <v>2252</v>
      </c>
      <c r="AR52" s="84">
        <v>3942819</v>
      </c>
      <c r="AS52" s="84">
        <v>3996089</v>
      </c>
      <c r="AT52" s="84">
        <v>4338534</v>
      </c>
      <c r="AU52" s="84">
        <v>2271801</v>
      </c>
      <c r="AV52" s="84"/>
      <c r="AW52" s="84">
        <v>-707955</v>
      </c>
      <c r="AX52" s="84">
        <v>3067165</v>
      </c>
      <c r="AY52" s="84">
        <v>2175057</v>
      </c>
      <c r="AZ52" s="84">
        <v>8315</v>
      </c>
      <c r="BA52" s="84">
        <v>6893</v>
      </c>
      <c r="BB52" s="84"/>
      <c r="BC52" s="84"/>
      <c r="BD52" s="103">
        <v>2670501</v>
      </c>
      <c r="BE52" s="103">
        <v>1787525</v>
      </c>
      <c r="BF52" s="84">
        <v>15547931</v>
      </c>
      <c r="BG52" s="84">
        <v>12506115</v>
      </c>
      <c r="BH52" s="103">
        <v>0</v>
      </c>
      <c r="BI52" s="103">
        <v>8335434</v>
      </c>
      <c r="BJ52" s="103">
        <v>16014295</v>
      </c>
      <c r="BK52" s="103">
        <v>10226101</v>
      </c>
      <c r="BL52" s="103"/>
      <c r="BM52" s="103">
        <v>183704</v>
      </c>
      <c r="BN52" s="73">
        <f t="shared" si="8"/>
        <v>55000766</v>
      </c>
      <c r="BO52" s="73">
        <f t="shared" si="9"/>
        <v>58697349.106650501</v>
      </c>
    </row>
    <row r="53" spans="1:67" x14ac:dyDescent="0.25">
      <c r="A53" s="21" t="s">
        <v>281</v>
      </c>
      <c r="B53" s="84"/>
      <c r="C53" s="84"/>
      <c r="D53" s="84"/>
      <c r="E53" s="84"/>
      <c r="F53" s="84"/>
      <c r="G53" s="84"/>
      <c r="H53" s="84">
        <v>3998313</v>
      </c>
      <c r="I53" s="84">
        <v>15547706</v>
      </c>
      <c r="J53" s="84"/>
      <c r="K53" s="84"/>
      <c r="L53" s="84">
        <v>1233817</v>
      </c>
      <c r="M53" s="84">
        <v>3778340</v>
      </c>
      <c r="N53" s="84"/>
      <c r="O53" s="84"/>
      <c r="P53" s="84">
        <v>201993</v>
      </c>
      <c r="Q53" s="84">
        <v>502751</v>
      </c>
      <c r="R53" s="84"/>
      <c r="S53" s="84"/>
      <c r="T53" s="84"/>
      <c r="U53" s="84"/>
      <c r="V53" s="84">
        <v>6616542</v>
      </c>
      <c r="W53" s="84">
        <v>27968418</v>
      </c>
      <c r="X53" s="84">
        <v>4619136</v>
      </c>
      <c r="Y53" s="84">
        <v>21090082</v>
      </c>
      <c r="Z53" s="84">
        <v>4887676</v>
      </c>
      <c r="AA53" s="84">
        <v>16122172</v>
      </c>
      <c r="AB53" s="84">
        <v>223651</v>
      </c>
      <c r="AC53" s="84">
        <v>732485</v>
      </c>
      <c r="AD53" s="84">
        <v>491005</v>
      </c>
      <c r="AE53" s="84">
        <v>1876149</v>
      </c>
      <c r="AF53" s="84">
        <v>82006</v>
      </c>
      <c r="AG53" s="84">
        <v>328047</v>
      </c>
      <c r="AH53" s="103">
        <v>1317428</v>
      </c>
      <c r="AI53" s="103">
        <v>4043123</v>
      </c>
      <c r="AJ53" s="84">
        <v>2318953</v>
      </c>
      <c r="AK53" s="84">
        <v>7995542</v>
      </c>
      <c r="AL53" s="84"/>
      <c r="AM53" s="84"/>
      <c r="AN53" s="84">
        <v>10364</v>
      </c>
      <c r="AO53" s="84">
        <v>56338</v>
      </c>
      <c r="AP53" s="84">
        <v>39404</v>
      </c>
      <c r="AQ53" s="84">
        <v>116200</v>
      </c>
      <c r="AR53" s="84"/>
      <c r="AS53" s="84"/>
      <c r="AT53" s="84">
        <v>3381212</v>
      </c>
      <c r="AU53" s="84">
        <v>11736670</v>
      </c>
      <c r="AV53" s="84">
        <v>829461</v>
      </c>
      <c r="AW53" s="84">
        <v>2745633</v>
      </c>
      <c r="AX53" s="84"/>
      <c r="AY53" s="84"/>
      <c r="AZ53" s="84"/>
      <c r="BA53" s="84"/>
      <c r="BB53" s="84"/>
      <c r="BC53" s="84"/>
      <c r="BD53" s="103">
        <v>2084225</v>
      </c>
      <c r="BE53" s="103">
        <v>5925107</v>
      </c>
      <c r="BF53" s="84">
        <v>34272388</v>
      </c>
      <c r="BG53" s="84">
        <v>98268388</v>
      </c>
      <c r="BH53" s="103">
        <v>17614553</v>
      </c>
      <c r="BI53" s="103">
        <v>54753548</v>
      </c>
      <c r="BJ53" s="103">
        <v>17506820</v>
      </c>
      <c r="BK53" s="103">
        <v>61400485</v>
      </c>
      <c r="BL53" s="103">
        <v>564353</v>
      </c>
      <c r="BM53" s="103">
        <v>2096976</v>
      </c>
      <c r="BN53" s="73">
        <f t="shared" si="8"/>
        <v>102293300</v>
      </c>
      <c r="BO53" s="73">
        <f t="shared" si="9"/>
        <v>337084160</v>
      </c>
    </row>
    <row r="54" spans="1:67" x14ac:dyDescent="0.25">
      <c r="A54" s="21" t="s">
        <v>276</v>
      </c>
      <c r="B54" s="84"/>
      <c r="C54" s="84"/>
      <c r="D54" s="84"/>
      <c r="E54" s="84"/>
      <c r="F54" s="84"/>
      <c r="G54" s="84"/>
      <c r="H54" s="84"/>
      <c r="I54" s="84"/>
      <c r="J54" s="84"/>
      <c r="K54" s="84">
        <v>7555</v>
      </c>
      <c r="L54" s="84"/>
      <c r="M54" s="84"/>
      <c r="N54" s="84"/>
      <c r="O54" s="84"/>
      <c r="P54" s="84">
        <v>5577</v>
      </c>
      <c r="Q54" s="84">
        <v>57871</v>
      </c>
      <c r="R54" s="84"/>
      <c r="S54" s="84"/>
      <c r="T54" s="84"/>
      <c r="U54" s="84"/>
      <c r="V54" s="84">
        <v>1</v>
      </c>
      <c r="W54" s="84">
        <v>27</v>
      </c>
      <c r="X54" s="84">
        <v>252920</v>
      </c>
      <c r="Y54" s="84">
        <v>922501</v>
      </c>
      <c r="Z54" s="84">
        <v>1</v>
      </c>
      <c r="AA54" s="84">
        <v>7446</v>
      </c>
      <c r="AB54" s="84"/>
      <c r="AC54" s="84"/>
      <c r="AD54" s="84"/>
      <c r="AE54" s="84"/>
      <c r="AF54" s="84"/>
      <c r="AG54" s="84"/>
      <c r="AH54" s="103"/>
      <c r="AI54" s="103"/>
      <c r="AJ54" s="84"/>
      <c r="AK54" s="84"/>
      <c r="AL54" s="84">
        <v>21120.13</v>
      </c>
      <c r="AM54" s="84">
        <v>21120.13</v>
      </c>
      <c r="AN54" s="84"/>
      <c r="AO54" s="84"/>
      <c r="AP54" s="84"/>
      <c r="AQ54" s="84"/>
      <c r="AR54" s="84"/>
      <c r="AS54" s="84"/>
      <c r="AT54" s="84">
        <v>62854</v>
      </c>
      <c r="AU54" s="84">
        <v>230922</v>
      </c>
      <c r="AV54" s="84"/>
      <c r="AW54" s="84"/>
      <c r="AX54" s="84"/>
      <c r="AY54" s="84">
        <v>675589</v>
      </c>
      <c r="AZ54" s="84"/>
      <c r="BA54" s="84"/>
      <c r="BB54" s="84"/>
      <c r="BC54" s="84"/>
      <c r="BD54" s="84"/>
      <c r="BE54" s="103"/>
      <c r="BF54" s="84">
        <v>0</v>
      </c>
      <c r="BG54" s="84">
        <v>0</v>
      </c>
      <c r="BH54" s="103">
        <v>157264</v>
      </c>
      <c r="BI54" s="103">
        <v>224855</v>
      </c>
      <c r="BJ54" s="103">
        <v>0</v>
      </c>
      <c r="BK54" s="103">
        <v>0</v>
      </c>
      <c r="BL54" s="103"/>
      <c r="BM54" s="103"/>
      <c r="BN54" s="73">
        <f t="shared" si="8"/>
        <v>499737.13</v>
      </c>
      <c r="BO54" s="73">
        <f t="shared" si="9"/>
        <v>2147886.13</v>
      </c>
    </row>
    <row r="55" spans="1:67" x14ac:dyDescent="0.25">
      <c r="A55" s="21" t="s">
        <v>277</v>
      </c>
      <c r="B55" s="84">
        <v>16430</v>
      </c>
      <c r="C55" s="84">
        <v>30852</v>
      </c>
      <c r="D55" s="84">
        <v>296583</v>
      </c>
      <c r="E55" s="84">
        <v>826625</v>
      </c>
      <c r="F55" s="84"/>
      <c r="G55" s="84"/>
      <c r="H55" s="84">
        <v>751774</v>
      </c>
      <c r="I55" s="84">
        <v>2133405</v>
      </c>
      <c r="J55" s="84">
        <v>40009</v>
      </c>
      <c r="K55" s="84">
        <v>113508</v>
      </c>
      <c r="L55" s="84">
        <v>179567</v>
      </c>
      <c r="M55" s="84">
        <v>439750</v>
      </c>
      <c r="N55" s="84"/>
      <c r="O55" s="84"/>
      <c r="P55" s="84">
        <v>13463</v>
      </c>
      <c r="Q55" s="84">
        <v>-203626</v>
      </c>
      <c r="R55" s="84">
        <v>276209</v>
      </c>
      <c r="S55" s="84">
        <v>871814</v>
      </c>
      <c r="T55" s="84">
        <v>39327</v>
      </c>
      <c r="U55" s="84">
        <v>149867</v>
      </c>
      <c r="V55" s="84">
        <v>-1673794</v>
      </c>
      <c r="W55" s="84">
        <v>-5452399</v>
      </c>
      <c r="X55" s="84">
        <v>1047212</v>
      </c>
      <c r="Y55" s="84">
        <v>2825872</v>
      </c>
      <c r="Z55" s="84">
        <v>749037</v>
      </c>
      <c r="AA55" s="84">
        <v>3196821</v>
      </c>
      <c r="AB55" s="84">
        <v>11885</v>
      </c>
      <c r="AC55" s="84">
        <v>31814</v>
      </c>
      <c r="AD55" s="84">
        <v>31387</v>
      </c>
      <c r="AE55" s="84">
        <v>96080</v>
      </c>
      <c r="AF55" s="84">
        <v>-10531</v>
      </c>
      <c r="AG55" s="84">
        <v>-28207</v>
      </c>
      <c r="AH55" s="103">
        <v>63949</v>
      </c>
      <c r="AI55" s="103">
        <v>186612</v>
      </c>
      <c r="AJ55" s="84">
        <v>435908</v>
      </c>
      <c r="AK55" s="84">
        <v>1623350</v>
      </c>
      <c r="AL55" s="84">
        <v>2338133.8539999994</v>
      </c>
      <c r="AM55" s="84">
        <v>9854663.5749999993</v>
      </c>
      <c r="AN55" s="84">
        <v>-1455</v>
      </c>
      <c r="AO55" s="84">
        <v>-8870</v>
      </c>
      <c r="AP55" s="84">
        <v>2824</v>
      </c>
      <c r="AQ55" s="84">
        <v>2907</v>
      </c>
      <c r="AR55" s="84">
        <v>591736</v>
      </c>
      <c r="AS55" s="84">
        <v>2038128</v>
      </c>
      <c r="AT55" s="84">
        <v>1189851</v>
      </c>
      <c r="AU55" s="84">
        <v>2836255</v>
      </c>
      <c r="AV55" s="84">
        <v>-171442</v>
      </c>
      <c r="AW55" s="84">
        <v>-469911</v>
      </c>
      <c r="AX55" s="84">
        <v>130517</v>
      </c>
      <c r="AY55" s="84">
        <v>335467</v>
      </c>
      <c r="AZ55" s="84">
        <v>1341</v>
      </c>
      <c r="BA55" s="84">
        <v>1798</v>
      </c>
      <c r="BB55" s="84"/>
      <c r="BC55" s="84"/>
      <c r="BD55" s="103">
        <v>141413</v>
      </c>
      <c r="BE55" s="103">
        <v>407888</v>
      </c>
      <c r="BF55" s="84">
        <v>1668328</v>
      </c>
      <c r="BG55" s="84">
        <v>5059176</v>
      </c>
      <c r="BH55" s="103">
        <v>805549</v>
      </c>
      <c r="BI55" s="103">
        <v>2548034</v>
      </c>
      <c r="BJ55" s="103">
        <v>1153674</v>
      </c>
      <c r="BK55" s="103">
        <v>3621017</v>
      </c>
      <c r="BL55" s="103">
        <v>39876</v>
      </c>
      <c r="BM55" s="103">
        <v>98048</v>
      </c>
      <c r="BN55" s="73">
        <f t="shared" si="8"/>
        <v>10158760.853999998</v>
      </c>
      <c r="BO55" s="73">
        <f t="shared" si="9"/>
        <v>33166738.574999999</v>
      </c>
    </row>
    <row r="56" spans="1:67" x14ac:dyDescent="0.25">
      <c r="A56" s="21" t="s">
        <v>273</v>
      </c>
      <c r="B56" s="84">
        <v>274794</v>
      </c>
      <c r="C56" s="84">
        <v>681654</v>
      </c>
      <c r="D56" s="84">
        <v>1428722</v>
      </c>
      <c r="E56" s="84">
        <v>4003225</v>
      </c>
      <c r="F56" s="84"/>
      <c r="G56" s="84"/>
      <c r="H56" s="84">
        <v>2982791</v>
      </c>
      <c r="I56" s="84">
        <v>13150553</v>
      </c>
      <c r="J56" s="84">
        <v>678154</v>
      </c>
      <c r="K56" s="84">
        <v>1955327</v>
      </c>
      <c r="L56" s="84">
        <v>1054250</v>
      </c>
      <c r="M56" s="84">
        <v>3338590</v>
      </c>
      <c r="N56" s="84"/>
      <c r="O56" s="84"/>
      <c r="P56" s="84">
        <v>194107</v>
      </c>
      <c r="Q56" s="84">
        <v>764248</v>
      </c>
      <c r="R56" s="84">
        <v>527033</v>
      </c>
      <c r="S56" s="84">
        <v>3192918</v>
      </c>
      <c r="T56" s="84">
        <v>197248</v>
      </c>
      <c r="U56" s="84">
        <v>663107</v>
      </c>
      <c r="V56" s="84">
        <v>5040289</v>
      </c>
      <c r="W56" s="84">
        <v>21364731</v>
      </c>
      <c r="X56" s="84">
        <v>5002530</v>
      </c>
      <c r="Y56" s="84">
        <v>18921671</v>
      </c>
      <c r="Z56" s="84">
        <v>4138640</v>
      </c>
      <c r="AA56" s="84">
        <v>12932797</v>
      </c>
      <c r="AB56" s="84">
        <v>211766</v>
      </c>
      <c r="AC56" s="84">
        <v>700671</v>
      </c>
      <c r="AD56" s="84">
        <v>444795</v>
      </c>
      <c r="AE56" s="84">
        <v>1782034</v>
      </c>
      <c r="AF56" s="84">
        <v>85006</v>
      </c>
      <c r="AG56" s="84">
        <v>299112</v>
      </c>
      <c r="AH56" s="103">
        <v>1253479</v>
      </c>
      <c r="AI56" s="103">
        <v>3856511</v>
      </c>
      <c r="AJ56" s="84">
        <v>1883044</v>
      </c>
      <c r="AK56" s="84">
        <v>6372191</v>
      </c>
      <c r="AL56" s="84">
        <v>14929501.633823683</v>
      </c>
      <c r="AM56" s="84">
        <v>41258733.560211897</v>
      </c>
      <c r="AN56" s="84">
        <v>6904</v>
      </c>
      <c r="AO56" s="84">
        <v>54913</v>
      </c>
      <c r="AP56" s="84">
        <v>36580</v>
      </c>
      <c r="AQ56" s="84">
        <v>113293</v>
      </c>
      <c r="AR56" s="84">
        <v>1334256</v>
      </c>
      <c r="AS56" s="84">
        <v>6514720</v>
      </c>
      <c r="AT56" s="84">
        <v>2254215</v>
      </c>
      <c r="AU56" s="84">
        <v>9131337</v>
      </c>
      <c r="AV56" s="84">
        <v>586962</v>
      </c>
      <c r="AW56" s="84">
        <v>2103637</v>
      </c>
      <c r="AX56" s="84">
        <v>1854840</v>
      </c>
      <c r="AY56" s="84">
        <v>7315747</v>
      </c>
      <c r="AZ56" s="84">
        <v>-1068</v>
      </c>
      <c r="BA56" s="84">
        <v>468</v>
      </c>
      <c r="BB56" s="84"/>
      <c r="BC56" s="84"/>
      <c r="BD56" s="103">
        <v>1942812</v>
      </c>
      <c r="BE56" s="103">
        <v>5517219</v>
      </c>
      <c r="BF56" s="84">
        <v>30908158</v>
      </c>
      <c r="BG56" s="84">
        <v>91827177</v>
      </c>
      <c r="BH56" s="103">
        <v>16966268</v>
      </c>
      <c r="BI56" s="103">
        <v>52430369</v>
      </c>
      <c r="BJ56" s="103">
        <v>16353146</v>
      </c>
      <c r="BK56" s="103">
        <v>57779468</v>
      </c>
      <c r="BL56" s="103">
        <v>524477</v>
      </c>
      <c r="BM56" s="103">
        <v>1998928</v>
      </c>
      <c r="BN56" s="73">
        <f t="shared" si="8"/>
        <v>113093699.63382369</v>
      </c>
      <c r="BO56" s="73">
        <f t="shared" si="9"/>
        <v>370025349.5602119</v>
      </c>
    </row>
    <row r="57" spans="1:67" x14ac:dyDescent="0.25">
      <c r="A57" s="13"/>
    </row>
    <row r="58" spans="1:67" x14ac:dyDescent="0.25">
      <c r="A58" s="28" t="s">
        <v>221</v>
      </c>
    </row>
    <row r="59" spans="1:67" x14ac:dyDescent="0.25">
      <c r="A59" s="3" t="s">
        <v>0</v>
      </c>
      <c r="B59" s="119" t="s">
        <v>1</v>
      </c>
      <c r="C59" s="120"/>
      <c r="D59" s="119" t="s">
        <v>282</v>
      </c>
      <c r="E59" s="120"/>
      <c r="F59" s="119" t="s">
        <v>2</v>
      </c>
      <c r="G59" s="120"/>
      <c r="H59" s="119" t="s">
        <v>3</v>
      </c>
      <c r="I59" s="120"/>
      <c r="J59" s="119" t="s">
        <v>4</v>
      </c>
      <c r="K59" s="120"/>
      <c r="L59" s="119" t="s">
        <v>283</v>
      </c>
      <c r="M59" s="120"/>
      <c r="N59" s="119" t="s">
        <v>6</v>
      </c>
      <c r="O59" s="120"/>
      <c r="P59" s="119" t="s">
        <v>5</v>
      </c>
      <c r="Q59" s="120"/>
      <c r="R59" s="119" t="s">
        <v>7</v>
      </c>
      <c r="S59" s="120"/>
      <c r="T59" s="119" t="s">
        <v>284</v>
      </c>
      <c r="U59" s="120"/>
      <c r="V59" s="119" t="s">
        <v>8</v>
      </c>
      <c r="W59" s="120"/>
      <c r="X59" s="119" t="s">
        <v>9</v>
      </c>
      <c r="Y59" s="120"/>
      <c r="Z59" s="119" t="s">
        <v>10</v>
      </c>
      <c r="AA59" s="120"/>
      <c r="AB59" s="119" t="s">
        <v>293</v>
      </c>
      <c r="AC59" s="120"/>
      <c r="AD59" s="119" t="s">
        <v>11</v>
      </c>
      <c r="AE59" s="120"/>
      <c r="AF59" s="119" t="s">
        <v>12</v>
      </c>
      <c r="AG59" s="120"/>
      <c r="AH59" s="119" t="s">
        <v>285</v>
      </c>
      <c r="AI59" s="120"/>
      <c r="AJ59" s="119" t="s">
        <v>290</v>
      </c>
      <c r="AK59" s="120"/>
      <c r="AL59" s="119" t="s">
        <v>13</v>
      </c>
      <c r="AM59" s="120"/>
      <c r="AN59" s="119" t="s">
        <v>286</v>
      </c>
      <c r="AO59" s="120"/>
      <c r="AP59" s="119" t="s">
        <v>287</v>
      </c>
      <c r="AQ59" s="120"/>
      <c r="AR59" s="119" t="s">
        <v>291</v>
      </c>
      <c r="AS59" s="120"/>
      <c r="AT59" s="119" t="s">
        <v>294</v>
      </c>
      <c r="AU59" s="120"/>
      <c r="AV59" s="119" t="s">
        <v>14</v>
      </c>
      <c r="AW59" s="120"/>
      <c r="AX59" s="119" t="s">
        <v>15</v>
      </c>
      <c r="AY59" s="120"/>
      <c r="AZ59" s="119" t="s">
        <v>16</v>
      </c>
      <c r="BA59" s="120"/>
      <c r="BB59" s="119" t="s">
        <v>17</v>
      </c>
      <c r="BC59" s="120"/>
      <c r="BD59" s="119" t="s">
        <v>18</v>
      </c>
      <c r="BE59" s="120"/>
      <c r="BF59" s="119" t="s">
        <v>288</v>
      </c>
      <c r="BG59" s="120"/>
      <c r="BH59" s="119" t="s">
        <v>289</v>
      </c>
      <c r="BI59" s="120"/>
      <c r="BJ59" s="119" t="s">
        <v>19</v>
      </c>
      <c r="BK59" s="120"/>
      <c r="BL59" s="119" t="s">
        <v>20</v>
      </c>
      <c r="BM59" s="120"/>
      <c r="BN59" s="121" t="s">
        <v>21</v>
      </c>
      <c r="BO59" s="122"/>
    </row>
    <row r="60" spans="1:67" ht="30" x14ac:dyDescent="0.25">
      <c r="A60" s="3"/>
      <c r="B60" s="57" t="s">
        <v>296</v>
      </c>
      <c r="C60" s="58" t="s">
        <v>297</v>
      </c>
      <c r="D60" s="57" t="s">
        <v>296</v>
      </c>
      <c r="E60" s="58" t="s">
        <v>297</v>
      </c>
      <c r="F60" s="57" t="s">
        <v>296</v>
      </c>
      <c r="G60" s="58" t="s">
        <v>297</v>
      </c>
      <c r="H60" s="57" t="s">
        <v>296</v>
      </c>
      <c r="I60" s="58" t="s">
        <v>297</v>
      </c>
      <c r="J60" s="57" t="s">
        <v>296</v>
      </c>
      <c r="K60" s="58" t="s">
        <v>297</v>
      </c>
      <c r="L60" s="57" t="s">
        <v>296</v>
      </c>
      <c r="M60" s="58" t="s">
        <v>297</v>
      </c>
      <c r="N60" s="57" t="s">
        <v>296</v>
      </c>
      <c r="O60" s="58" t="s">
        <v>297</v>
      </c>
      <c r="P60" s="57" t="s">
        <v>296</v>
      </c>
      <c r="Q60" s="58" t="s">
        <v>297</v>
      </c>
      <c r="R60" s="57" t="s">
        <v>296</v>
      </c>
      <c r="S60" s="58" t="s">
        <v>297</v>
      </c>
      <c r="T60" s="57" t="s">
        <v>296</v>
      </c>
      <c r="U60" s="58" t="s">
        <v>297</v>
      </c>
      <c r="V60" s="57" t="s">
        <v>296</v>
      </c>
      <c r="W60" s="58" t="s">
        <v>297</v>
      </c>
      <c r="X60" s="57" t="s">
        <v>296</v>
      </c>
      <c r="Y60" s="58" t="s">
        <v>297</v>
      </c>
      <c r="Z60" s="57" t="s">
        <v>296</v>
      </c>
      <c r="AA60" s="58" t="s">
        <v>297</v>
      </c>
      <c r="AB60" s="57" t="s">
        <v>296</v>
      </c>
      <c r="AC60" s="58" t="s">
        <v>297</v>
      </c>
      <c r="AD60" s="57" t="s">
        <v>296</v>
      </c>
      <c r="AE60" s="58" t="s">
        <v>297</v>
      </c>
      <c r="AF60" s="57" t="s">
        <v>296</v>
      </c>
      <c r="AG60" s="58" t="s">
        <v>297</v>
      </c>
      <c r="AH60" s="57" t="s">
        <v>296</v>
      </c>
      <c r="AI60" s="58" t="s">
        <v>297</v>
      </c>
      <c r="AJ60" s="57" t="s">
        <v>296</v>
      </c>
      <c r="AK60" s="58" t="s">
        <v>297</v>
      </c>
      <c r="AL60" s="57" t="s">
        <v>296</v>
      </c>
      <c r="AM60" s="58" t="s">
        <v>297</v>
      </c>
      <c r="AN60" s="57" t="s">
        <v>296</v>
      </c>
      <c r="AO60" s="58" t="s">
        <v>297</v>
      </c>
      <c r="AP60" s="57" t="s">
        <v>296</v>
      </c>
      <c r="AQ60" s="58" t="s">
        <v>297</v>
      </c>
      <c r="AR60" s="57" t="s">
        <v>296</v>
      </c>
      <c r="AS60" s="58" t="s">
        <v>297</v>
      </c>
      <c r="AT60" s="57" t="s">
        <v>296</v>
      </c>
      <c r="AU60" s="58" t="s">
        <v>297</v>
      </c>
      <c r="AV60" s="57" t="s">
        <v>296</v>
      </c>
      <c r="AW60" s="58" t="s">
        <v>297</v>
      </c>
      <c r="AX60" s="57" t="s">
        <v>296</v>
      </c>
      <c r="AY60" s="58" t="s">
        <v>297</v>
      </c>
      <c r="AZ60" s="57" t="s">
        <v>296</v>
      </c>
      <c r="BA60" s="58" t="s">
        <v>297</v>
      </c>
      <c r="BB60" s="57" t="s">
        <v>296</v>
      </c>
      <c r="BC60" s="58" t="s">
        <v>297</v>
      </c>
      <c r="BD60" s="57" t="s">
        <v>296</v>
      </c>
      <c r="BE60" s="58" t="s">
        <v>297</v>
      </c>
      <c r="BF60" s="57" t="s">
        <v>296</v>
      </c>
      <c r="BG60" s="58" t="s">
        <v>297</v>
      </c>
      <c r="BH60" s="57" t="s">
        <v>296</v>
      </c>
      <c r="BI60" s="58" t="s">
        <v>297</v>
      </c>
      <c r="BJ60" s="57" t="s">
        <v>296</v>
      </c>
      <c r="BK60" s="58" t="s">
        <v>297</v>
      </c>
      <c r="BL60" s="57" t="s">
        <v>296</v>
      </c>
      <c r="BM60" s="58" t="s">
        <v>297</v>
      </c>
      <c r="BN60" s="57" t="s">
        <v>296</v>
      </c>
      <c r="BO60" s="58" t="s">
        <v>297</v>
      </c>
    </row>
    <row r="61" spans="1:67" x14ac:dyDescent="0.25">
      <c r="A61" s="21" t="s">
        <v>228</v>
      </c>
      <c r="B61" s="84">
        <v>84</v>
      </c>
      <c r="C61" s="84">
        <v>9847</v>
      </c>
      <c r="D61" s="84">
        <v>35471</v>
      </c>
      <c r="E61" s="84">
        <v>145375</v>
      </c>
      <c r="F61" s="84"/>
      <c r="G61" s="84"/>
      <c r="H61" s="84">
        <v>330250</v>
      </c>
      <c r="I61" s="84">
        <v>852209</v>
      </c>
      <c r="J61" s="84">
        <v>36804</v>
      </c>
      <c r="K61" s="84">
        <v>114576</v>
      </c>
      <c r="L61" s="84">
        <v>199153</v>
      </c>
      <c r="M61" s="84">
        <v>536802</v>
      </c>
      <c r="N61" s="84"/>
      <c r="O61" s="84"/>
      <c r="P61" s="84">
        <v>412</v>
      </c>
      <c r="Q61" s="84">
        <v>3361</v>
      </c>
      <c r="R61" s="84">
        <v>91006</v>
      </c>
      <c r="S61" s="84">
        <v>209606</v>
      </c>
      <c r="T61" s="84">
        <v>5098</v>
      </c>
      <c r="U61" s="84">
        <v>9500</v>
      </c>
      <c r="V61" s="84">
        <v>471337</v>
      </c>
      <c r="W61" s="84">
        <v>1545667</v>
      </c>
      <c r="X61" s="84">
        <v>448034</v>
      </c>
      <c r="Y61" s="84">
        <v>1181844</v>
      </c>
      <c r="Z61" s="84">
        <v>231723</v>
      </c>
      <c r="AA61" s="84">
        <v>628183</v>
      </c>
      <c r="AB61" s="84">
        <v>15442</v>
      </c>
      <c r="AC61" s="84">
        <v>78146</v>
      </c>
      <c r="AD61" s="84">
        <v>32170</v>
      </c>
      <c r="AE61" s="84">
        <v>116991</v>
      </c>
      <c r="AF61" s="84">
        <v>5439</v>
      </c>
      <c r="AG61" s="84">
        <v>10749</v>
      </c>
      <c r="AH61" s="103">
        <v>6281</v>
      </c>
      <c r="AI61" s="103">
        <v>22865</v>
      </c>
      <c r="AJ61" s="84">
        <v>10646</v>
      </c>
      <c r="AK61" s="84">
        <v>39444</v>
      </c>
      <c r="AL61" s="84">
        <v>663828.25799999991</v>
      </c>
      <c r="AM61" s="84">
        <v>1852183.28</v>
      </c>
      <c r="AN61" s="84">
        <v>5456</v>
      </c>
      <c r="AO61" s="84">
        <v>18780</v>
      </c>
      <c r="AP61" s="84">
        <v>3266</v>
      </c>
      <c r="AQ61" s="84">
        <v>6436</v>
      </c>
      <c r="AR61" s="84">
        <v>110328</v>
      </c>
      <c r="AS61" s="84">
        <v>190482</v>
      </c>
      <c r="AT61" s="84">
        <v>147434</v>
      </c>
      <c r="AU61" s="84">
        <v>312022</v>
      </c>
      <c r="AV61" s="84">
        <v>77733</v>
      </c>
      <c r="AW61" s="84">
        <v>188517</v>
      </c>
      <c r="AX61" s="84">
        <v>1007530</v>
      </c>
      <c r="AY61" s="84">
        <v>2335127</v>
      </c>
      <c r="AZ61" s="84">
        <v>77214</v>
      </c>
      <c r="BA61" s="84">
        <v>334017</v>
      </c>
      <c r="BB61" s="84"/>
      <c r="BC61" s="84"/>
      <c r="BD61" s="103">
        <v>186101</v>
      </c>
      <c r="BE61" s="103">
        <v>578325</v>
      </c>
      <c r="BF61" s="84">
        <v>1503546</v>
      </c>
      <c r="BG61" s="84">
        <v>4302171</v>
      </c>
      <c r="BH61" s="103">
        <v>800299</v>
      </c>
      <c r="BI61" s="103">
        <v>2472510</v>
      </c>
      <c r="BJ61" s="103">
        <v>1612796</v>
      </c>
      <c r="BK61" s="103">
        <v>4838017</v>
      </c>
      <c r="BL61" s="103">
        <v>440157</v>
      </c>
      <c r="BM61" s="103">
        <v>858683</v>
      </c>
      <c r="BN61" s="73">
        <f t="shared" ref="BN61:BN67" si="10">SUM(B61+D61+F61+H61+J61+L61+N61+P61+R61+T61+V61+X61+Z61+AB61+AD61+AF61+AH61+AJ61+AL61+AN61+AP61+AR61+AT61+AV61+AX61+AZ61+BB61+BD61+BF61+BH61+BJ61+BL61)</f>
        <v>8555038.2579999994</v>
      </c>
      <c r="BO61" s="73">
        <f t="shared" ref="BO61:BO67" si="11">SUM(C61+E61+G61+I61+K61+M61+O61+Q61+S61+U61+W61+Y61+AA61+AC61+AE61+AG61+AI61+AK61+AM61+AO61+AQ61+AS61+AU61+AW61+AY61+BA61+BC61+BE61+BG61+BI61+BK61+BM61)</f>
        <v>23792435.280000001</v>
      </c>
    </row>
    <row r="62" spans="1:67" x14ac:dyDescent="0.25">
      <c r="A62" s="21" t="s">
        <v>279</v>
      </c>
      <c r="B62" s="84">
        <v>6624</v>
      </c>
      <c r="C62" s="84">
        <v>6624</v>
      </c>
      <c r="D62" s="84">
        <v>307951</v>
      </c>
      <c r="E62" s="84">
        <v>307951</v>
      </c>
      <c r="F62" s="84"/>
      <c r="G62" s="84"/>
      <c r="H62" s="84">
        <v>52471</v>
      </c>
      <c r="I62" s="84">
        <v>1603102</v>
      </c>
      <c r="J62" s="84">
        <v>-17253</v>
      </c>
      <c r="K62" s="84">
        <v>172030</v>
      </c>
      <c r="L62" s="84">
        <v>360836</v>
      </c>
      <c r="M62" s="84">
        <v>360836</v>
      </c>
      <c r="N62" s="84"/>
      <c r="O62" s="84"/>
      <c r="P62" s="84">
        <v>5098</v>
      </c>
      <c r="Q62" s="84">
        <v>5098</v>
      </c>
      <c r="R62" s="84">
        <v>305496</v>
      </c>
      <c r="S62" s="84">
        <v>305496</v>
      </c>
      <c r="T62" s="84">
        <v>50180</v>
      </c>
      <c r="U62" s="84">
        <v>50180</v>
      </c>
      <c r="V62" s="84">
        <v>3121849</v>
      </c>
      <c r="W62" s="84">
        <v>3121849</v>
      </c>
      <c r="X62" s="84">
        <v>3747273</v>
      </c>
      <c r="Y62" s="84">
        <v>3747273</v>
      </c>
      <c r="Z62" s="84">
        <v>-54301</v>
      </c>
      <c r="AA62" s="84">
        <v>392158</v>
      </c>
      <c r="AB62" s="84">
        <v>41042</v>
      </c>
      <c r="AC62" s="84">
        <v>41042</v>
      </c>
      <c r="AD62" s="84">
        <v>153251</v>
      </c>
      <c r="AE62" s="84">
        <v>153251</v>
      </c>
      <c r="AF62" s="84">
        <v>40953</v>
      </c>
      <c r="AG62" s="84">
        <v>40953</v>
      </c>
      <c r="AH62" s="103">
        <v>45785</v>
      </c>
      <c r="AI62" s="103">
        <v>45785</v>
      </c>
      <c r="AJ62" s="84">
        <v>155004</v>
      </c>
      <c r="AK62" s="84">
        <v>155004</v>
      </c>
      <c r="AL62" s="84">
        <v>-418369.31410326296</v>
      </c>
      <c r="AM62" s="84">
        <v>2230060.1964988811</v>
      </c>
      <c r="AN62" s="84">
        <v>57906</v>
      </c>
      <c r="AO62" s="84">
        <v>57906</v>
      </c>
      <c r="AP62" s="84">
        <v>-72</v>
      </c>
      <c r="AQ62" s="84">
        <v>1676</v>
      </c>
      <c r="AR62" s="84">
        <v>395037</v>
      </c>
      <c r="AS62" s="84">
        <v>395037</v>
      </c>
      <c r="AT62" s="84">
        <v>492688</v>
      </c>
      <c r="AU62" s="84">
        <v>492688</v>
      </c>
      <c r="AV62" s="84"/>
      <c r="AW62" s="84">
        <v>338578</v>
      </c>
      <c r="AX62" s="84">
        <v>4622642</v>
      </c>
      <c r="AY62" s="84">
        <v>4622642</v>
      </c>
      <c r="AZ62" s="84">
        <v>46089</v>
      </c>
      <c r="BA62" s="84">
        <v>46089</v>
      </c>
      <c r="BB62" s="84"/>
      <c r="BC62" s="84"/>
      <c r="BD62" s="103">
        <v>845405</v>
      </c>
      <c r="BE62" s="103">
        <v>845405</v>
      </c>
      <c r="BF62" s="84">
        <v>2989658</v>
      </c>
      <c r="BG62" s="84">
        <v>2989658</v>
      </c>
      <c r="BH62" s="103">
        <v>-148785</v>
      </c>
      <c r="BI62" s="103">
        <v>2055819</v>
      </c>
      <c r="BJ62" s="103">
        <v>6607601</v>
      </c>
      <c r="BK62" s="103">
        <v>6607601</v>
      </c>
      <c r="BL62" s="103">
        <v>295972</v>
      </c>
      <c r="BM62" s="103">
        <v>1258699</v>
      </c>
      <c r="BN62" s="73">
        <f t="shared" si="10"/>
        <v>24108030.685896739</v>
      </c>
      <c r="BO62" s="73">
        <f t="shared" si="11"/>
        <v>32450490.196498882</v>
      </c>
    </row>
    <row r="63" spans="1:67" x14ac:dyDescent="0.25">
      <c r="A63" s="21" t="s">
        <v>278</v>
      </c>
      <c r="B63" s="84">
        <v>19817</v>
      </c>
      <c r="C63" s="84">
        <v>1135</v>
      </c>
      <c r="D63" s="84">
        <v>193687</v>
      </c>
      <c r="E63" s="84">
        <v>187691</v>
      </c>
      <c r="F63" s="84"/>
      <c r="G63" s="84"/>
      <c r="H63" s="84">
        <v>-119658</v>
      </c>
      <c r="I63" s="84">
        <v>1276458</v>
      </c>
      <c r="J63" s="84"/>
      <c r="K63" s="84">
        <v>164894</v>
      </c>
      <c r="L63" s="84">
        <v>412290</v>
      </c>
      <c r="M63" s="84">
        <v>370345</v>
      </c>
      <c r="N63" s="84"/>
      <c r="O63" s="84"/>
      <c r="P63" s="84">
        <v>-3113</v>
      </c>
      <c r="Q63" s="84">
        <v>26008</v>
      </c>
      <c r="R63" s="84">
        <v>336592</v>
      </c>
      <c r="S63" s="84">
        <v>261014</v>
      </c>
      <c r="T63" s="84">
        <v>56168</v>
      </c>
      <c r="U63" s="84">
        <v>20219</v>
      </c>
      <c r="V63" s="84">
        <v>-2906328</v>
      </c>
      <c r="W63" s="84">
        <v>-1678237</v>
      </c>
      <c r="X63" s="84">
        <v>3961711</v>
      </c>
      <c r="Y63" s="84">
        <v>3904610</v>
      </c>
      <c r="Z63" s="84"/>
      <c r="AA63" s="84">
        <v>355544</v>
      </c>
      <c r="AB63" s="84">
        <v>30411</v>
      </c>
      <c r="AC63" s="84">
        <v>24941</v>
      </c>
      <c r="AD63" s="84">
        <v>136824</v>
      </c>
      <c r="AE63" s="84">
        <v>130540</v>
      </c>
      <c r="AF63" s="84">
        <v>-40263</v>
      </c>
      <c r="AG63" s="84">
        <v>-31638</v>
      </c>
      <c r="AH63" s="103">
        <v>44845</v>
      </c>
      <c r="AI63" s="103">
        <v>64396</v>
      </c>
      <c r="AJ63" s="84">
        <v>141688</v>
      </c>
      <c r="AK63" s="84">
        <v>86814</v>
      </c>
      <c r="AL63" s="84"/>
      <c r="AM63" s="84">
        <v>1950662.348</v>
      </c>
      <c r="AN63" s="84">
        <v>-52962</v>
      </c>
      <c r="AO63" s="84">
        <v>-33767</v>
      </c>
      <c r="AP63" s="84"/>
      <c r="AQ63" s="84">
        <v>1335</v>
      </c>
      <c r="AR63" s="84">
        <v>445566</v>
      </c>
      <c r="AS63" s="84">
        <v>365948</v>
      </c>
      <c r="AT63" s="84">
        <v>462917</v>
      </c>
      <c r="AU63" s="84">
        <v>353720</v>
      </c>
      <c r="AV63" s="84"/>
      <c r="AW63" s="84">
        <v>-265480</v>
      </c>
      <c r="AX63" s="84">
        <v>4920395</v>
      </c>
      <c r="AY63" s="84">
        <v>3722334</v>
      </c>
      <c r="AZ63" s="84">
        <v>54247</v>
      </c>
      <c r="BA63" s="84">
        <v>68005</v>
      </c>
      <c r="BB63" s="84"/>
      <c r="BC63" s="84"/>
      <c r="BD63" s="103">
        <v>810658</v>
      </c>
      <c r="BE63" s="103">
        <v>768655</v>
      </c>
      <c r="BF63" s="84">
        <v>3805836</v>
      </c>
      <c r="BG63" s="84">
        <v>3816759</v>
      </c>
      <c r="BH63" s="103">
        <v>0</v>
      </c>
      <c r="BI63" s="103">
        <v>2691729</v>
      </c>
      <c r="BJ63" s="103">
        <v>7489873</v>
      </c>
      <c r="BK63" s="103">
        <v>5938064</v>
      </c>
      <c r="BL63" s="103"/>
      <c r="BM63" s="103">
        <v>476279</v>
      </c>
      <c r="BN63" s="73">
        <f t="shared" si="10"/>
        <v>20201201</v>
      </c>
      <c r="BO63" s="73">
        <f t="shared" si="11"/>
        <v>25018977.348000001</v>
      </c>
    </row>
    <row r="64" spans="1:67" x14ac:dyDescent="0.25">
      <c r="A64" s="21" t="s">
        <v>281</v>
      </c>
      <c r="B64" s="84"/>
      <c r="C64" s="84"/>
      <c r="D64" s="84"/>
      <c r="E64" s="84"/>
      <c r="F64" s="84"/>
      <c r="G64" s="84"/>
      <c r="H64" s="84">
        <v>392183</v>
      </c>
      <c r="I64" s="84">
        <v>1178853</v>
      </c>
      <c r="J64" s="84"/>
      <c r="K64" s="84"/>
      <c r="L64" s="84">
        <v>147699</v>
      </c>
      <c r="M64" s="84">
        <v>527293</v>
      </c>
      <c r="N64" s="84"/>
      <c r="O64" s="84"/>
      <c r="P64" s="84">
        <v>8623</v>
      </c>
      <c r="Q64" s="84">
        <v>-17549</v>
      </c>
      <c r="R64" s="84"/>
      <c r="S64" s="84"/>
      <c r="T64" s="84"/>
      <c r="U64" s="84"/>
      <c r="V64" s="84">
        <v>686859</v>
      </c>
      <c r="W64" s="84">
        <v>2989280</v>
      </c>
      <c r="X64" s="84">
        <v>233596</v>
      </c>
      <c r="Y64" s="84">
        <v>1024508</v>
      </c>
      <c r="Z64" s="84">
        <v>177422</v>
      </c>
      <c r="AA64" s="84">
        <v>664797</v>
      </c>
      <c r="AB64" s="84">
        <v>26073</v>
      </c>
      <c r="AC64" s="84">
        <v>94247</v>
      </c>
      <c r="AD64" s="84">
        <v>48596</v>
      </c>
      <c r="AE64" s="84">
        <v>139702</v>
      </c>
      <c r="AF64" s="84">
        <v>6129</v>
      </c>
      <c r="AG64" s="84">
        <v>20064</v>
      </c>
      <c r="AH64" s="103">
        <v>7220</v>
      </c>
      <c r="AI64" s="103">
        <v>4253</v>
      </c>
      <c r="AJ64" s="84">
        <v>23963</v>
      </c>
      <c r="AK64" s="84">
        <v>107634</v>
      </c>
      <c r="AL64" s="84"/>
      <c r="AM64" s="84"/>
      <c r="AN64" s="84">
        <v>10400</v>
      </c>
      <c r="AO64" s="84">
        <v>42920</v>
      </c>
      <c r="AP64" s="84">
        <v>3194</v>
      </c>
      <c r="AQ64" s="84">
        <v>6778</v>
      </c>
      <c r="AR64" s="84"/>
      <c r="AS64" s="84"/>
      <c r="AT64" s="84">
        <v>177205</v>
      </c>
      <c r="AU64" s="84">
        <v>450990</v>
      </c>
      <c r="AV64" s="84">
        <v>77733</v>
      </c>
      <c r="AW64" s="84">
        <v>261615</v>
      </c>
      <c r="AX64" s="84"/>
      <c r="AY64" s="84"/>
      <c r="AZ64" s="84"/>
      <c r="BA64" s="84"/>
      <c r="BB64" s="84"/>
      <c r="BC64" s="84"/>
      <c r="BD64" s="103">
        <v>220848</v>
      </c>
      <c r="BE64" s="103">
        <v>655075</v>
      </c>
      <c r="BF64" s="84">
        <v>687368</v>
      </c>
      <c r="BG64" s="84">
        <v>3475070</v>
      </c>
      <c r="BH64" s="103">
        <v>651514</v>
      </c>
      <c r="BI64" s="103">
        <v>1836600</v>
      </c>
      <c r="BJ64" s="103">
        <v>730524</v>
      </c>
      <c r="BK64" s="103">
        <v>5507554</v>
      </c>
      <c r="BL64" s="103">
        <v>736129</v>
      </c>
      <c r="BM64" s="103">
        <v>1641103</v>
      </c>
      <c r="BN64" s="73">
        <f t="shared" si="10"/>
        <v>5053278</v>
      </c>
      <c r="BO64" s="73">
        <f t="shared" si="11"/>
        <v>20610787</v>
      </c>
    </row>
    <row r="65" spans="1:67" x14ac:dyDescent="0.25">
      <c r="A65" s="21" t="s">
        <v>276</v>
      </c>
      <c r="B65" s="84"/>
      <c r="C65" s="84"/>
      <c r="D65" s="84"/>
      <c r="E65" s="84"/>
      <c r="F65" s="84"/>
      <c r="G65" s="84"/>
      <c r="H65" s="84"/>
      <c r="I65" s="84">
        <v>3489</v>
      </c>
      <c r="J65" s="84"/>
      <c r="K65" s="84"/>
      <c r="L65" s="84"/>
      <c r="M65" s="84"/>
      <c r="N65" s="84"/>
      <c r="O65" s="84"/>
      <c r="P65" s="84">
        <v>4817</v>
      </c>
      <c r="Q65" s="84">
        <v>20460</v>
      </c>
      <c r="R65" s="84"/>
      <c r="S65" s="84"/>
      <c r="T65" s="84"/>
      <c r="U65" s="84"/>
      <c r="V65" s="84"/>
      <c r="W65" s="84"/>
      <c r="X65" s="84"/>
      <c r="Y65" s="84">
        <v>5418</v>
      </c>
      <c r="Z65" s="84">
        <v>-1</v>
      </c>
      <c r="AA65" s="84">
        <v>5988</v>
      </c>
      <c r="AB65" s="84"/>
      <c r="AC65" s="84"/>
      <c r="AD65" s="84"/>
      <c r="AE65" s="84"/>
      <c r="AF65" s="84">
        <v>2072</v>
      </c>
      <c r="AG65" s="84">
        <v>5017</v>
      </c>
      <c r="AH65" s="103"/>
      <c r="AI65" s="103"/>
      <c r="AJ65" s="84"/>
      <c r="AK65" s="84"/>
      <c r="AL65" s="84"/>
      <c r="AM65" s="84"/>
      <c r="AN65" s="84"/>
      <c r="AO65" s="84"/>
      <c r="AP65" s="84">
        <v>13</v>
      </c>
      <c r="AQ65" s="84">
        <v>13</v>
      </c>
      <c r="AR65" s="84"/>
      <c r="AS65" s="84">
        <v>408</v>
      </c>
      <c r="AT65" s="84"/>
      <c r="AU65" s="84"/>
      <c r="AV65" s="84">
        <v>14320</v>
      </c>
      <c r="AW65" s="84">
        <v>29529</v>
      </c>
      <c r="AX65" s="84"/>
      <c r="AY65" s="84"/>
      <c r="AZ65" s="84"/>
      <c r="BA65" s="84"/>
      <c r="BB65" s="84"/>
      <c r="BC65" s="84"/>
      <c r="BD65" s="103">
        <v>1293</v>
      </c>
      <c r="BE65" s="103">
        <v>1293</v>
      </c>
      <c r="BF65" s="84">
        <v>9205</v>
      </c>
      <c r="BG65" s="84">
        <v>59213</v>
      </c>
      <c r="BH65" s="103">
        <v>16272</v>
      </c>
      <c r="BI65" s="103">
        <v>53400</v>
      </c>
      <c r="BJ65" s="103">
        <v>48</v>
      </c>
      <c r="BK65" s="103">
        <v>826</v>
      </c>
      <c r="BL65" s="103"/>
      <c r="BM65" s="103"/>
      <c r="BN65" s="73">
        <f t="shared" si="10"/>
        <v>48039</v>
      </c>
      <c r="BO65" s="73">
        <f t="shared" si="11"/>
        <v>185054</v>
      </c>
    </row>
    <row r="66" spans="1:67" x14ac:dyDescent="0.25">
      <c r="A66" s="21" t="s">
        <v>277</v>
      </c>
      <c r="B66" s="84">
        <v>4</v>
      </c>
      <c r="C66" s="84">
        <v>492</v>
      </c>
      <c r="D66" s="84">
        <v>10674</v>
      </c>
      <c r="E66" s="84">
        <v>33183</v>
      </c>
      <c r="F66" s="84"/>
      <c r="G66" s="84"/>
      <c r="H66" s="84">
        <v>22988</v>
      </c>
      <c r="I66" s="84">
        <v>60095</v>
      </c>
      <c r="J66" s="84">
        <v>2192</v>
      </c>
      <c r="K66" s="84">
        <v>6659</v>
      </c>
      <c r="L66" s="84">
        <v>47452</v>
      </c>
      <c r="M66" s="84">
        <v>126480</v>
      </c>
      <c r="N66" s="84"/>
      <c r="O66" s="84"/>
      <c r="P66" s="84">
        <v>9926</v>
      </c>
      <c r="Q66" s="84">
        <v>-6457</v>
      </c>
      <c r="R66" s="84">
        <v>11621</v>
      </c>
      <c r="S66" s="84">
        <v>41087</v>
      </c>
      <c r="T66" s="84">
        <v>255</v>
      </c>
      <c r="U66" s="84">
        <v>475</v>
      </c>
      <c r="V66" s="84">
        <v>-119767</v>
      </c>
      <c r="W66" s="84">
        <v>-415977</v>
      </c>
      <c r="X66" s="84">
        <v>29099</v>
      </c>
      <c r="Y66" s="84">
        <v>98457</v>
      </c>
      <c r="Z66" s="84">
        <v>31500</v>
      </c>
      <c r="AA66" s="84">
        <v>171818</v>
      </c>
      <c r="AB66" s="84">
        <v>11366</v>
      </c>
      <c r="AC66" s="84">
        <v>61229</v>
      </c>
      <c r="AD66" s="84">
        <v>6857</v>
      </c>
      <c r="AE66" s="84">
        <v>11099</v>
      </c>
      <c r="AF66" s="84">
        <v>-272</v>
      </c>
      <c r="AG66" s="84">
        <v>-764</v>
      </c>
      <c r="AH66" s="103">
        <v>352</v>
      </c>
      <c r="AI66" s="103">
        <v>1218</v>
      </c>
      <c r="AJ66" s="84">
        <v>18566</v>
      </c>
      <c r="AK66" s="84">
        <v>24276</v>
      </c>
      <c r="AL66" s="84">
        <v>86945.858000000007</v>
      </c>
      <c r="AM66" s="84">
        <v>198711.978</v>
      </c>
      <c r="AN66" s="84">
        <v>-2654</v>
      </c>
      <c r="AO66" s="84">
        <v>-8393</v>
      </c>
      <c r="AP66" s="84">
        <v>2491</v>
      </c>
      <c r="AQ66" s="84">
        <v>4902</v>
      </c>
      <c r="AR66" s="84">
        <v>22701</v>
      </c>
      <c r="AS66" s="84">
        <v>41529</v>
      </c>
      <c r="AT66" s="84">
        <v>23114</v>
      </c>
      <c r="AU66" s="84">
        <v>44164</v>
      </c>
      <c r="AV66" s="84">
        <v>-18375</v>
      </c>
      <c r="AW66" s="84">
        <v>-34468</v>
      </c>
      <c r="AX66" s="84">
        <v>50728</v>
      </c>
      <c r="AY66" s="84">
        <v>117610</v>
      </c>
      <c r="AZ66" s="84">
        <v>70625</v>
      </c>
      <c r="BA66" s="84">
        <v>309871</v>
      </c>
      <c r="BB66" s="84"/>
      <c r="BC66" s="84"/>
      <c r="BD66" s="103">
        <v>9317</v>
      </c>
      <c r="BE66" s="103">
        <v>45450</v>
      </c>
      <c r="BF66" s="84">
        <v>87675</v>
      </c>
      <c r="BG66" s="84">
        <v>227670</v>
      </c>
      <c r="BH66" s="103">
        <v>120481</v>
      </c>
      <c r="BI66" s="103">
        <v>19877</v>
      </c>
      <c r="BJ66" s="103">
        <v>-89239</v>
      </c>
      <c r="BK66" s="103">
        <v>2995021</v>
      </c>
      <c r="BL66" s="103">
        <v>65528</v>
      </c>
      <c r="BM66" s="103">
        <v>125228</v>
      </c>
      <c r="BN66" s="73">
        <f t="shared" si="10"/>
        <v>512150.85800000001</v>
      </c>
      <c r="BO66" s="73">
        <f t="shared" si="11"/>
        <v>4300542.9780000001</v>
      </c>
    </row>
    <row r="67" spans="1:67" x14ac:dyDescent="0.25">
      <c r="A67" s="21" t="s">
        <v>273</v>
      </c>
      <c r="B67" s="84">
        <v>-13113</v>
      </c>
      <c r="C67" s="84">
        <v>14844</v>
      </c>
      <c r="D67" s="84">
        <v>139061</v>
      </c>
      <c r="E67" s="84">
        <v>232452</v>
      </c>
      <c r="F67" s="84"/>
      <c r="G67" s="84"/>
      <c r="H67" s="84">
        <v>194602</v>
      </c>
      <c r="I67" s="84">
        <v>947654</v>
      </c>
      <c r="J67" s="84">
        <v>17358</v>
      </c>
      <c r="K67" s="84">
        <v>115053</v>
      </c>
      <c r="L67" s="84">
        <v>100247</v>
      </c>
      <c r="M67" s="84">
        <v>400813</v>
      </c>
      <c r="N67" s="84"/>
      <c r="O67" s="84"/>
      <c r="P67" s="84">
        <v>3514</v>
      </c>
      <c r="Q67" s="84">
        <v>9368</v>
      </c>
      <c r="R67" s="84">
        <v>48289</v>
      </c>
      <c r="S67" s="84">
        <v>213001</v>
      </c>
      <c r="T67" s="84">
        <v>-1145</v>
      </c>
      <c r="U67" s="84">
        <v>38986</v>
      </c>
      <c r="V67" s="84">
        <v>559052</v>
      </c>
      <c r="W67" s="84">
        <v>2134835</v>
      </c>
      <c r="X67" s="84">
        <v>227199</v>
      </c>
      <c r="Y67" s="84">
        <v>1057782</v>
      </c>
      <c r="Z67" s="84">
        <v>145921</v>
      </c>
      <c r="AA67" s="84">
        <v>498967</v>
      </c>
      <c r="AB67" s="84">
        <v>14707</v>
      </c>
      <c r="AC67" s="84">
        <v>33018</v>
      </c>
      <c r="AD67" s="84">
        <v>39124</v>
      </c>
      <c r="AE67" s="84">
        <v>127914</v>
      </c>
      <c r="AF67" s="84">
        <v>8409</v>
      </c>
      <c r="AG67" s="84">
        <v>24352</v>
      </c>
      <c r="AH67" s="103">
        <v>6868</v>
      </c>
      <c r="AI67" s="103">
        <v>3036</v>
      </c>
      <c r="AJ67" s="84">
        <v>5397</v>
      </c>
      <c r="AK67" s="84">
        <v>83359</v>
      </c>
      <c r="AL67" s="84">
        <v>158513.08589673694</v>
      </c>
      <c r="AM67" s="84">
        <v>1932869.1504988812</v>
      </c>
      <c r="AN67" s="84">
        <v>5027</v>
      </c>
      <c r="AO67" s="84">
        <v>21250</v>
      </c>
      <c r="AP67" s="84">
        <v>717</v>
      </c>
      <c r="AQ67" s="84">
        <v>1889</v>
      </c>
      <c r="AR67" s="84">
        <v>37098</v>
      </c>
      <c r="AS67" s="84">
        <v>178450</v>
      </c>
      <c r="AT67" s="84">
        <v>154091</v>
      </c>
      <c r="AU67" s="84">
        <v>406826</v>
      </c>
      <c r="AV67" s="84">
        <v>48781</v>
      </c>
      <c r="AW67" s="84">
        <v>198078</v>
      </c>
      <c r="AX67" s="84">
        <v>659049</v>
      </c>
      <c r="AY67" s="84">
        <v>3117825</v>
      </c>
      <c r="AZ67" s="84">
        <v>-1569</v>
      </c>
      <c r="BA67" s="84">
        <v>2230</v>
      </c>
      <c r="BB67" s="84"/>
      <c r="BC67" s="84"/>
      <c r="BD67" s="103">
        <v>212824</v>
      </c>
      <c r="BE67" s="103">
        <v>610918</v>
      </c>
      <c r="BF67" s="84">
        <v>655241</v>
      </c>
      <c r="BG67" s="84">
        <v>3340086</v>
      </c>
      <c r="BH67" s="103">
        <v>547305</v>
      </c>
      <c r="BI67" s="103">
        <v>1870123</v>
      </c>
      <c r="BJ67" s="103">
        <v>819811</v>
      </c>
      <c r="BK67" s="103">
        <v>2513359</v>
      </c>
      <c r="BL67" s="103">
        <v>670601</v>
      </c>
      <c r="BM67" s="103">
        <v>1515875</v>
      </c>
      <c r="BN67" s="73">
        <f t="shared" si="10"/>
        <v>5462979.0858967369</v>
      </c>
      <c r="BO67" s="73">
        <f t="shared" si="11"/>
        <v>21645212.150498882</v>
      </c>
    </row>
    <row r="68" spans="1:67" x14ac:dyDescent="0.25">
      <c r="A68" s="13"/>
    </row>
    <row r="69" spans="1:67" x14ac:dyDescent="0.25">
      <c r="A69" s="28" t="s">
        <v>222</v>
      </c>
    </row>
    <row r="70" spans="1:67" x14ac:dyDescent="0.25">
      <c r="A70" s="3" t="s">
        <v>0</v>
      </c>
      <c r="B70" s="119" t="s">
        <v>1</v>
      </c>
      <c r="C70" s="120"/>
      <c r="D70" s="119" t="s">
        <v>282</v>
      </c>
      <c r="E70" s="120"/>
      <c r="F70" s="119" t="s">
        <v>2</v>
      </c>
      <c r="G70" s="120"/>
      <c r="H70" s="119" t="s">
        <v>3</v>
      </c>
      <c r="I70" s="120"/>
      <c r="J70" s="119" t="s">
        <v>4</v>
      </c>
      <c r="K70" s="120"/>
      <c r="L70" s="119" t="s">
        <v>283</v>
      </c>
      <c r="M70" s="120"/>
      <c r="N70" s="119" t="s">
        <v>6</v>
      </c>
      <c r="O70" s="120"/>
      <c r="P70" s="119" t="s">
        <v>5</v>
      </c>
      <c r="Q70" s="120"/>
      <c r="R70" s="119" t="s">
        <v>7</v>
      </c>
      <c r="S70" s="120"/>
      <c r="T70" s="119" t="s">
        <v>284</v>
      </c>
      <c r="U70" s="120"/>
      <c r="V70" s="119" t="s">
        <v>8</v>
      </c>
      <c r="W70" s="120"/>
      <c r="X70" s="119" t="s">
        <v>9</v>
      </c>
      <c r="Y70" s="120"/>
      <c r="Z70" s="119" t="s">
        <v>10</v>
      </c>
      <c r="AA70" s="120"/>
      <c r="AB70" s="119" t="s">
        <v>293</v>
      </c>
      <c r="AC70" s="120"/>
      <c r="AD70" s="119" t="s">
        <v>11</v>
      </c>
      <c r="AE70" s="120"/>
      <c r="AF70" s="119" t="s">
        <v>12</v>
      </c>
      <c r="AG70" s="120"/>
      <c r="AH70" s="119" t="s">
        <v>285</v>
      </c>
      <c r="AI70" s="120"/>
      <c r="AJ70" s="119" t="s">
        <v>290</v>
      </c>
      <c r="AK70" s="120"/>
      <c r="AL70" s="119" t="s">
        <v>13</v>
      </c>
      <c r="AM70" s="120"/>
      <c r="AN70" s="119" t="s">
        <v>286</v>
      </c>
      <c r="AO70" s="120"/>
      <c r="AP70" s="119" t="s">
        <v>287</v>
      </c>
      <c r="AQ70" s="120"/>
      <c r="AR70" s="119" t="s">
        <v>291</v>
      </c>
      <c r="AS70" s="120"/>
      <c r="AT70" s="119" t="s">
        <v>294</v>
      </c>
      <c r="AU70" s="120"/>
      <c r="AV70" s="119" t="s">
        <v>14</v>
      </c>
      <c r="AW70" s="120"/>
      <c r="AX70" s="119" t="s">
        <v>15</v>
      </c>
      <c r="AY70" s="120"/>
      <c r="AZ70" s="119" t="s">
        <v>16</v>
      </c>
      <c r="BA70" s="120"/>
      <c r="BB70" s="119" t="s">
        <v>17</v>
      </c>
      <c r="BC70" s="120"/>
      <c r="BD70" s="119" t="s">
        <v>18</v>
      </c>
      <c r="BE70" s="120"/>
      <c r="BF70" s="119" t="s">
        <v>288</v>
      </c>
      <c r="BG70" s="120"/>
      <c r="BH70" s="119" t="s">
        <v>289</v>
      </c>
      <c r="BI70" s="120"/>
      <c r="BJ70" s="119" t="s">
        <v>19</v>
      </c>
      <c r="BK70" s="120"/>
      <c r="BL70" s="119" t="s">
        <v>20</v>
      </c>
      <c r="BM70" s="120"/>
      <c r="BN70" s="121" t="s">
        <v>21</v>
      </c>
      <c r="BO70" s="122"/>
    </row>
    <row r="71" spans="1:67" ht="30" x14ac:dyDescent="0.25">
      <c r="A71" s="3"/>
      <c r="B71" s="57" t="s">
        <v>296</v>
      </c>
      <c r="C71" s="58" t="s">
        <v>297</v>
      </c>
      <c r="D71" s="57" t="s">
        <v>296</v>
      </c>
      <c r="E71" s="58" t="s">
        <v>297</v>
      </c>
      <c r="F71" s="57" t="s">
        <v>296</v>
      </c>
      <c r="G71" s="58" t="s">
        <v>297</v>
      </c>
      <c r="H71" s="57" t="s">
        <v>296</v>
      </c>
      <c r="I71" s="58" t="s">
        <v>297</v>
      </c>
      <c r="J71" s="57" t="s">
        <v>296</v>
      </c>
      <c r="K71" s="58" t="s">
        <v>297</v>
      </c>
      <c r="L71" s="57" t="s">
        <v>296</v>
      </c>
      <c r="M71" s="58" t="s">
        <v>297</v>
      </c>
      <c r="N71" s="57" t="s">
        <v>296</v>
      </c>
      <c r="O71" s="58" t="s">
        <v>297</v>
      </c>
      <c r="P71" s="57" t="s">
        <v>296</v>
      </c>
      <c r="Q71" s="58" t="s">
        <v>297</v>
      </c>
      <c r="R71" s="57" t="s">
        <v>296</v>
      </c>
      <c r="S71" s="58" t="s">
        <v>297</v>
      </c>
      <c r="T71" s="57" t="s">
        <v>296</v>
      </c>
      <c r="U71" s="58" t="s">
        <v>297</v>
      </c>
      <c r="V71" s="57" t="s">
        <v>296</v>
      </c>
      <c r="W71" s="58" t="s">
        <v>297</v>
      </c>
      <c r="X71" s="57" t="s">
        <v>296</v>
      </c>
      <c r="Y71" s="58" t="s">
        <v>297</v>
      </c>
      <c r="Z71" s="57" t="s">
        <v>296</v>
      </c>
      <c r="AA71" s="58" t="s">
        <v>297</v>
      </c>
      <c r="AB71" s="57" t="s">
        <v>296</v>
      </c>
      <c r="AC71" s="58" t="s">
        <v>297</v>
      </c>
      <c r="AD71" s="57" t="s">
        <v>296</v>
      </c>
      <c r="AE71" s="58" t="s">
        <v>297</v>
      </c>
      <c r="AF71" s="57" t="s">
        <v>296</v>
      </c>
      <c r="AG71" s="58" t="s">
        <v>297</v>
      </c>
      <c r="AH71" s="57" t="s">
        <v>296</v>
      </c>
      <c r="AI71" s="58" t="s">
        <v>297</v>
      </c>
      <c r="AJ71" s="57" t="s">
        <v>296</v>
      </c>
      <c r="AK71" s="58" t="s">
        <v>297</v>
      </c>
      <c r="AL71" s="57" t="s">
        <v>296</v>
      </c>
      <c r="AM71" s="58" t="s">
        <v>297</v>
      </c>
      <c r="AN71" s="57" t="s">
        <v>296</v>
      </c>
      <c r="AO71" s="58" t="s">
        <v>297</v>
      </c>
      <c r="AP71" s="57" t="s">
        <v>296</v>
      </c>
      <c r="AQ71" s="58" t="s">
        <v>297</v>
      </c>
      <c r="AR71" s="57" t="s">
        <v>296</v>
      </c>
      <c r="AS71" s="58" t="s">
        <v>297</v>
      </c>
      <c r="AT71" s="57" t="s">
        <v>296</v>
      </c>
      <c r="AU71" s="58" t="s">
        <v>297</v>
      </c>
      <c r="AV71" s="57" t="s">
        <v>296</v>
      </c>
      <c r="AW71" s="58" t="s">
        <v>297</v>
      </c>
      <c r="AX71" s="57" t="s">
        <v>296</v>
      </c>
      <c r="AY71" s="58" t="s">
        <v>297</v>
      </c>
      <c r="AZ71" s="57" t="s">
        <v>296</v>
      </c>
      <c r="BA71" s="58" t="s">
        <v>297</v>
      </c>
      <c r="BB71" s="57" t="s">
        <v>296</v>
      </c>
      <c r="BC71" s="58" t="s">
        <v>297</v>
      </c>
      <c r="BD71" s="57" t="s">
        <v>296</v>
      </c>
      <c r="BE71" s="58" t="s">
        <v>297</v>
      </c>
      <c r="BF71" s="57" t="s">
        <v>296</v>
      </c>
      <c r="BG71" s="58" t="s">
        <v>297</v>
      </c>
      <c r="BH71" s="57" t="s">
        <v>296</v>
      </c>
      <c r="BI71" s="58" t="s">
        <v>297</v>
      </c>
      <c r="BJ71" s="57" t="s">
        <v>296</v>
      </c>
      <c r="BK71" s="58" t="s">
        <v>297</v>
      </c>
      <c r="BL71" s="57" t="s">
        <v>296</v>
      </c>
      <c r="BM71" s="58" t="s">
        <v>297</v>
      </c>
      <c r="BN71" s="57" t="s">
        <v>296</v>
      </c>
      <c r="BO71" s="58" t="s">
        <v>297</v>
      </c>
    </row>
    <row r="72" spans="1:67" x14ac:dyDescent="0.25">
      <c r="A72" s="21" t="s">
        <v>228</v>
      </c>
      <c r="B72" s="84">
        <v>60189</v>
      </c>
      <c r="C72" s="84">
        <v>284099</v>
      </c>
      <c r="D72" s="84"/>
      <c r="E72" s="84"/>
      <c r="F72" s="84"/>
      <c r="G72" s="84"/>
      <c r="H72" s="84">
        <v>52231</v>
      </c>
      <c r="I72" s="84">
        <v>238615</v>
      </c>
      <c r="J72" s="84">
        <v>3702</v>
      </c>
      <c r="K72" s="84">
        <v>11632</v>
      </c>
      <c r="L72" s="84">
        <v>1309</v>
      </c>
      <c r="M72" s="84">
        <v>21675</v>
      </c>
      <c r="N72" s="84"/>
      <c r="O72" s="84"/>
      <c r="P72" s="84"/>
      <c r="Q72" s="84"/>
      <c r="R72" s="84">
        <v>8352</v>
      </c>
      <c r="S72" s="84">
        <v>14891</v>
      </c>
      <c r="T72" s="84"/>
      <c r="U72" s="84"/>
      <c r="V72" s="84"/>
      <c r="W72" s="84">
        <v>3384</v>
      </c>
      <c r="X72" s="84">
        <v>34085</v>
      </c>
      <c r="Y72" s="84">
        <v>106211</v>
      </c>
      <c r="Z72" s="84">
        <v>23297</v>
      </c>
      <c r="AA72" s="84">
        <v>40078</v>
      </c>
      <c r="AB72" s="84"/>
      <c r="AC72" s="84"/>
      <c r="AD72" s="84">
        <v>3</v>
      </c>
      <c r="AE72" s="84">
        <v>2323</v>
      </c>
      <c r="AF72" s="84"/>
      <c r="AG72" s="84"/>
      <c r="AH72" s="84"/>
      <c r="AI72" s="84"/>
      <c r="AJ72" s="84"/>
      <c r="AK72" s="84"/>
      <c r="AL72" s="84">
        <v>46998.536</v>
      </c>
      <c r="AM72" s="84">
        <v>65499.455000000002</v>
      </c>
      <c r="AN72" s="84"/>
      <c r="AO72" s="84"/>
      <c r="AP72" s="84">
        <v>4328</v>
      </c>
      <c r="AQ72" s="84">
        <v>6474</v>
      </c>
      <c r="AR72" s="84">
        <v>2901</v>
      </c>
      <c r="AS72" s="84">
        <v>24053</v>
      </c>
      <c r="AT72" s="84"/>
      <c r="AU72" s="84"/>
      <c r="AV72" s="84">
        <v>1029</v>
      </c>
      <c r="AW72" s="84">
        <v>3205</v>
      </c>
      <c r="AX72" s="84">
        <v>4972</v>
      </c>
      <c r="AY72" s="84">
        <v>10177</v>
      </c>
      <c r="AZ72" s="84"/>
      <c r="BA72" s="84"/>
      <c r="BB72" s="84"/>
      <c r="BC72" s="84"/>
      <c r="BD72" s="103">
        <v>884646</v>
      </c>
      <c r="BE72" s="103">
        <v>2265079</v>
      </c>
      <c r="BF72" s="84">
        <v>444794</v>
      </c>
      <c r="BG72" s="84">
        <v>1874211</v>
      </c>
      <c r="BH72" s="103">
        <v>53876</v>
      </c>
      <c r="BI72" s="103">
        <v>95795</v>
      </c>
      <c r="BJ72" s="103">
        <v>65642</v>
      </c>
      <c r="BK72" s="103">
        <v>154944</v>
      </c>
      <c r="BL72" s="103"/>
      <c r="BM72" s="103"/>
      <c r="BN72" s="73">
        <f t="shared" ref="BN72:BN78" si="12">SUM(B72+D72+F72+H72+J72+L72+N72+P72+R72+T72+V72+X72+Z72+AB72+AD72+AF72+AH72+AJ72+AL72+AN72+AP72+AR72+AT72+AV72+AX72+AZ72+BB72+BD72+BF72+BH72+BJ72+BL72)</f>
        <v>1692354.5360000001</v>
      </c>
      <c r="BO72" s="73">
        <f t="shared" ref="BO72:BO78" si="13">SUM(C72+E72+G72+I72+K72+M72+O72+Q72+S72+U72+W72+Y72+AA72+AC72+AE72+AG72+AI72+AK72+AM72+AO72+AQ72+AS72+AU72+AW72+AY72+BA72+BC72+BE72+BG72+BI72+BK72+BM72)</f>
        <v>5222345.4550000001</v>
      </c>
    </row>
    <row r="73" spans="1:67" x14ac:dyDescent="0.25">
      <c r="A73" s="21" t="s">
        <v>279</v>
      </c>
      <c r="B73" s="84">
        <v>9389</v>
      </c>
      <c r="C73" s="84">
        <v>9389</v>
      </c>
      <c r="D73" s="84"/>
      <c r="E73" s="84"/>
      <c r="F73" s="84"/>
      <c r="G73" s="84"/>
      <c r="H73" s="84">
        <v>-95156</v>
      </c>
      <c r="I73" s="84">
        <v>620232</v>
      </c>
      <c r="J73" s="84">
        <v>47665</v>
      </c>
      <c r="K73" s="84">
        <v>327722</v>
      </c>
      <c r="L73" s="84">
        <v>21532</v>
      </c>
      <c r="M73" s="84">
        <v>21532</v>
      </c>
      <c r="N73" s="84"/>
      <c r="O73" s="84"/>
      <c r="P73" s="84"/>
      <c r="Q73" s="84"/>
      <c r="R73" s="84">
        <v>57609</v>
      </c>
      <c r="S73" s="84">
        <v>57609</v>
      </c>
      <c r="T73" s="84">
        <v>9</v>
      </c>
      <c r="U73" s="84">
        <v>9</v>
      </c>
      <c r="V73" s="84">
        <v>17928</v>
      </c>
      <c r="W73" s="84">
        <v>17928</v>
      </c>
      <c r="X73" s="84">
        <v>665938</v>
      </c>
      <c r="Y73" s="84">
        <v>665938</v>
      </c>
      <c r="Z73" s="84">
        <v>-4490</v>
      </c>
      <c r="AA73" s="84">
        <v>276737</v>
      </c>
      <c r="AB73" s="84"/>
      <c r="AC73" s="84"/>
      <c r="AD73" s="84">
        <v>77503</v>
      </c>
      <c r="AE73" s="84">
        <v>77503</v>
      </c>
      <c r="AF73" s="84">
        <v>6306</v>
      </c>
      <c r="AG73" s="84">
        <v>6306</v>
      </c>
      <c r="AH73" s="84"/>
      <c r="AI73" s="84"/>
      <c r="AJ73" s="84"/>
      <c r="AK73" s="84"/>
      <c r="AL73" s="84">
        <v>-246330.1938039409</v>
      </c>
      <c r="AM73" s="84">
        <v>558153.41410861572</v>
      </c>
      <c r="AN73" s="84"/>
      <c r="AO73" s="84"/>
      <c r="AP73" s="84">
        <v>-1860</v>
      </c>
      <c r="AQ73" s="84">
        <v>56420</v>
      </c>
      <c r="AR73" s="84">
        <v>191032</v>
      </c>
      <c r="AS73" s="84">
        <v>191032</v>
      </c>
      <c r="AT73" s="84"/>
      <c r="AU73" s="84"/>
      <c r="AV73" s="84"/>
      <c r="AW73" s="84">
        <v>31560</v>
      </c>
      <c r="AX73" s="84">
        <v>58325</v>
      </c>
      <c r="AY73" s="84">
        <v>58325</v>
      </c>
      <c r="AZ73" s="84">
        <v>4848</v>
      </c>
      <c r="BA73" s="84">
        <v>4848</v>
      </c>
      <c r="BB73" s="84"/>
      <c r="BC73" s="84"/>
      <c r="BD73" s="103">
        <v>2411040</v>
      </c>
      <c r="BE73" s="103">
        <v>2411040</v>
      </c>
      <c r="BF73" s="84">
        <v>7067774</v>
      </c>
      <c r="BG73" s="84">
        <v>7067774</v>
      </c>
      <c r="BH73" s="103">
        <v>40670</v>
      </c>
      <c r="BI73" s="103">
        <v>1524693</v>
      </c>
      <c r="BJ73" s="103">
        <v>2484057</v>
      </c>
      <c r="BK73" s="103">
        <v>2484057</v>
      </c>
      <c r="BL73" s="103">
        <v>-4271</v>
      </c>
      <c r="BM73" s="103">
        <v>4588</v>
      </c>
      <c r="BN73" s="73">
        <f t="shared" si="12"/>
        <v>12809517.80619606</v>
      </c>
      <c r="BO73" s="73">
        <f t="shared" si="13"/>
        <v>16473395.414108615</v>
      </c>
    </row>
    <row r="74" spans="1:67" x14ac:dyDescent="0.25">
      <c r="A74" s="21" t="s">
        <v>278</v>
      </c>
      <c r="B74" s="84">
        <v>41323</v>
      </c>
      <c r="C74" s="84">
        <v>23787</v>
      </c>
      <c r="D74" s="84"/>
      <c r="E74" s="84"/>
      <c r="F74" s="84"/>
      <c r="G74" s="84"/>
      <c r="H74" s="84">
        <v>-79757</v>
      </c>
      <c r="I74" s="84">
        <v>808762</v>
      </c>
      <c r="J74" s="84"/>
      <c r="K74" s="84">
        <v>214107</v>
      </c>
      <c r="L74" s="84">
        <v>20731</v>
      </c>
      <c r="M74" s="84">
        <v>15312</v>
      </c>
      <c r="N74" s="84"/>
      <c r="O74" s="84"/>
      <c r="P74" s="84"/>
      <c r="Q74" s="84">
        <v>992</v>
      </c>
      <c r="R74" s="84">
        <v>44429</v>
      </c>
      <c r="S74" s="84">
        <v>31634</v>
      </c>
      <c r="T74" s="84"/>
      <c r="U74" s="84"/>
      <c r="V74" s="84">
        <v>-17271</v>
      </c>
      <c r="W74" s="84">
        <v>-11587</v>
      </c>
      <c r="X74" s="84">
        <v>632469</v>
      </c>
      <c r="Y74" s="84">
        <v>495362</v>
      </c>
      <c r="Z74" s="84"/>
      <c r="AA74" s="84">
        <v>191339</v>
      </c>
      <c r="AB74" s="84"/>
      <c r="AC74" s="84"/>
      <c r="AD74" s="84">
        <v>76934</v>
      </c>
      <c r="AE74" s="84">
        <v>29002</v>
      </c>
      <c r="AF74" s="84">
        <v>-6362</v>
      </c>
      <c r="AG74" s="84">
        <v>-2250</v>
      </c>
      <c r="AH74" s="84"/>
      <c r="AI74" s="84"/>
      <c r="AJ74" s="84"/>
      <c r="AK74" s="84"/>
      <c r="AL74" s="84"/>
      <c r="AM74" s="84">
        <v>538585.83700000006</v>
      </c>
      <c r="AN74" s="84"/>
      <c r="AO74" s="84"/>
      <c r="AP74" s="84"/>
      <c r="AQ74" s="84">
        <v>50692</v>
      </c>
      <c r="AR74" s="84">
        <v>189962</v>
      </c>
      <c r="AS74" s="84">
        <v>222340</v>
      </c>
      <c r="AT74" s="84"/>
      <c r="AU74" s="84"/>
      <c r="AV74" s="84"/>
      <c r="AW74" s="84">
        <v>-26732</v>
      </c>
      <c r="AX74" s="84">
        <v>56126</v>
      </c>
      <c r="AY74" s="84">
        <v>41301</v>
      </c>
      <c r="AZ74" s="84">
        <v>5769</v>
      </c>
      <c r="BA74" s="84">
        <v>5975</v>
      </c>
      <c r="BB74" s="84"/>
      <c r="BC74" s="84"/>
      <c r="BD74" s="103">
        <v>2411665</v>
      </c>
      <c r="BE74" s="103">
        <v>2471050</v>
      </c>
      <c r="BF74" s="84">
        <v>6797667</v>
      </c>
      <c r="BG74" s="84">
        <v>6101689</v>
      </c>
      <c r="BH74" s="103">
        <v>0</v>
      </c>
      <c r="BI74" s="103">
        <v>1398468</v>
      </c>
      <c r="BJ74" s="103">
        <v>2725238</v>
      </c>
      <c r="BK74" s="103">
        <v>2278130</v>
      </c>
      <c r="BL74" s="103"/>
      <c r="BM74" s="103">
        <v>2781</v>
      </c>
      <c r="BN74" s="73">
        <f t="shared" si="12"/>
        <v>12898923</v>
      </c>
      <c r="BO74" s="73">
        <f t="shared" si="13"/>
        <v>14880739.837000001</v>
      </c>
    </row>
    <row r="75" spans="1:67" x14ac:dyDescent="0.25">
      <c r="A75" s="21" t="s">
        <v>281</v>
      </c>
      <c r="B75" s="84"/>
      <c r="C75" s="84"/>
      <c r="D75" s="84"/>
      <c r="E75" s="84"/>
      <c r="F75" s="84"/>
      <c r="G75" s="84"/>
      <c r="H75" s="84">
        <v>-172993</v>
      </c>
      <c r="I75" s="84">
        <v>50085</v>
      </c>
      <c r="J75" s="84"/>
      <c r="K75" s="84"/>
      <c r="L75" s="84">
        <v>2110</v>
      </c>
      <c r="M75" s="84">
        <v>27895</v>
      </c>
      <c r="N75" s="84"/>
      <c r="O75" s="84"/>
      <c r="P75" s="84"/>
      <c r="Q75" s="84">
        <v>-992</v>
      </c>
      <c r="R75" s="84"/>
      <c r="S75" s="84"/>
      <c r="T75" s="84"/>
      <c r="U75" s="84"/>
      <c r="V75" s="84">
        <v>657</v>
      </c>
      <c r="W75" s="84">
        <v>9725</v>
      </c>
      <c r="X75" s="84">
        <v>67554</v>
      </c>
      <c r="Y75" s="84">
        <v>276787</v>
      </c>
      <c r="Z75" s="84">
        <v>18807</v>
      </c>
      <c r="AA75" s="84">
        <v>125476</v>
      </c>
      <c r="AB75" s="84"/>
      <c r="AC75" s="84"/>
      <c r="AD75" s="84">
        <v>571</v>
      </c>
      <c r="AE75" s="84">
        <v>50823</v>
      </c>
      <c r="AF75" s="84">
        <v>-56</v>
      </c>
      <c r="AG75" s="84">
        <v>4056</v>
      </c>
      <c r="AH75" s="84"/>
      <c r="AI75" s="84"/>
      <c r="AJ75" s="84"/>
      <c r="AK75" s="84"/>
      <c r="AL75" s="84"/>
      <c r="AM75" s="84"/>
      <c r="AN75" s="84"/>
      <c r="AO75" s="84"/>
      <c r="AP75" s="84">
        <v>2468</v>
      </c>
      <c r="AQ75" s="84">
        <v>12203</v>
      </c>
      <c r="AR75" s="84"/>
      <c r="AS75" s="84"/>
      <c r="AT75" s="84"/>
      <c r="AU75" s="84"/>
      <c r="AV75" s="84">
        <v>1029</v>
      </c>
      <c r="AW75" s="84">
        <v>8033</v>
      </c>
      <c r="AX75" s="84"/>
      <c r="AY75" s="84"/>
      <c r="AZ75" s="84"/>
      <c r="BA75" s="84"/>
      <c r="BB75" s="84"/>
      <c r="BC75" s="84"/>
      <c r="BD75" s="103">
        <v>884021</v>
      </c>
      <c r="BE75" s="103">
        <v>2205069</v>
      </c>
      <c r="BF75" s="84">
        <v>714902</v>
      </c>
      <c r="BG75" s="84">
        <v>2840296</v>
      </c>
      <c r="BH75" s="103">
        <v>94546</v>
      </c>
      <c r="BI75" s="103">
        <v>222020</v>
      </c>
      <c r="BJ75" s="103">
        <v>-175539</v>
      </c>
      <c r="BK75" s="103">
        <v>360871</v>
      </c>
      <c r="BL75" s="103">
        <v>-4271</v>
      </c>
      <c r="BM75" s="103">
        <v>1807</v>
      </c>
      <c r="BN75" s="73">
        <f t="shared" si="12"/>
        <v>1433806</v>
      </c>
      <c r="BO75" s="73">
        <f t="shared" si="13"/>
        <v>6194154</v>
      </c>
    </row>
    <row r="76" spans="1:67" x14ac:dyDescent="0.25">
      <c r="A76" s="21" t="s">
        <v>276</v>
      </c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>
        <v>91</v>
      </c>
      <c r="AA76" s="84">
        <v>91</v>
      </c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>
        <v>123</v>
      </c>
      <c r="AQ76" s="84">
        <v>556</v>
      </c>
      <c r="AR76" s="84"/>
      <c r="AS76" s="84"/>
      <c r="AT76" s="84"/>
      <c r="AU76" s="84"/>
      <c r="AV76" s="84"/>
      <c r="AW76" s="84"/>
      <c r="AX76" s="84"/>
      <c r="AY76" s="84">
        <v>405</v>
      </c>
      <c r="AZ76" s="84"/>
      <c r="BA76" s="84"/>
      <c r="BB76" s="84"/>
      <c r="BC76" s="84"/>
      <c r="BD76" s="103">
        <v>646</v>
      </c>
      <c r="BE76" s="103">
        <v>341257</v>
      </c>
      <c r="BF76" s="84">
        <v>184</v>
      </c>
      <c r="BG76" s="84">
        <v>421</v>
      </c>
      <c r="BH76" s="103">
        <v>9685</v>
      </c>
      <c r="BI76" s="103">
        <v>58260</v>
      </c>
      <c r="BJ76" s="103">
        <v>1239</v>
      </c>
      <c r="BK76" s="103">
        <v>62741</v>
      </c>
      <c r="BL76" s="103"/>
      <c r="BM76" s="103"/>
      <c r="BN76" s="73">
        <f t="shared" si="12"/>
        <v>11968</v>
      </c>
      <c r="BO76" s="73">
        <f t="shared" si="13"/>
        <v>463731</v>
      </c>
    </row>
    <row r="77" spans="1:67" x14ac:dyDescent="0.25">
      <c r="A77" s="21" t="s">
        <v>277</v>
      </c>
      <c r="B77" s="84">
        <v>39028</v>
      </c>
      <c r="C77" s="84">
        <v>184570</v>
      </c>
      <c r="D77" s="84"/>
      <c r="E77" s="84"/>
      <c r="F77" s="84"/>
      <c r="G77" s="84"/>
      <c r="H77" s="84">
        <v>51276</v>
      </c>
      <c r="I77" s="84">
        <v>235332</v>
      </c>
      <c r="J77" s="84">
        <v>186</v>
      </c>
      <c r="K77" s="84">
        <v>1324</v>
      </c>
      <c r="L77" s="84">
        <v>1044</v>
      </c>
      <c r="M77" s="84">
        <v>19233</v>
      </c>
      <c r="N77" s="84"/>
      <c r="O77" s="84"/>
      <c r="P77" s="84"/>
      <c r="Q77" s="84">
        <v>-992</v>
      </c>
      <c r="R77" s="84">
        <v>401</v>
      </c>
      <c r="S77" s="84">
        <v>737</v>
      </c>
      <c r="T77" s="84"/>
      <c r="U77" s="84"/>
      <c r="V77" s="84"/>
      <c r="W77" s="84">
        <v>-185</v>
      </c>
      <c r="X77" s="84">
        <v>29596</v>
      </c>
      <c r="Y77" s="84">
        <v>88034</v>
      </c>
      <c r="Z77" s="84">
        <v>1307</v>
      </c>
      <c r="AA77" s="84">
        <v>4535</v>
      </c>
      <c r="AB77" s="84"/>
      <c r="AC77" s="84"/>
      <c r="AD77" s="84"/>
      <c r="AE77" s="84">
        <v>116</v>
      </c>
      <c r="AF77" s="84"/>
      <c r="AG77" s="84"/>
      <c r="AH77" s="84"/>
      <c r="AI77" s="84"/>
      <c r="AJ77" s="84"/>
      <c r="AK77" s="84"/>
      <c r="AL77" s="84">
        <v>9192.85095</v>
      </c>
      <c r="AM77" s="84">
        <v>10467.852999999999</v>
      </c>
      <c r="AN77" s="84"/>
      <c r="AO77" s="84"/>
      <c r="AP77" s="84">
        <v>216</v>
      </c>
      <c r="AQ77" s="84">
        <v>332</v>
      </c>
      <c r="AR77" s="84">
        <v>170</v>
      </c>
      <c r="AS77" s="84">
        <v>1286</v>
      </c>
      <c r="AT77" s="84"/>
      <c r="AU77" s="84"/>
      <c r="AV77" s="84">
        <v>-51</v>
      </c>
      <c r="AW77" s="84">
        <v>-160</v>
      </c>
      <c r="AX77" s="84">
        <v>4343</v>
      </c>
      <c r="AY77" s="84">
        <v>7433</v>
      </c>
      <c r="AZ77" s="84"/>
      <c r="BA77" s="84"/>
      <c r="BB77" s="84"/>
      <c r="BC77" s="84"/>
      <c r="BD77" s="103">
        <v>846526</v>
      </c>
      <c r="BE77" s="103">
        <v>2277923</v>
      </c>
      <c r="BF77" s="84">
        <v>48545</v>
      </c>
      <c r="BG77" s="84">
        <v>152275</v>
      </c>
      <c r="BH77" s="103">
        <v>38168</v>
      </c>
      <c r="BI77" s="103">
        <v>77879</v>
      </c>
      <c r="BJ77" s="103">
        <v>49937</v>
      </c>
      <c r="BK77" s="103">
        <v>67701</v>
      </c>
      <c r="BL77" s="103"/>
      <c r="BM77" s="103"/>
      <c r="BN77" s="73">
        <f t="shared" si="12"/>
        <v>1119884.8509499999</v>
      </c>
      <c r="BO77" s="73">
        <f t="shared" si="13"/>
        <v>3127840.8530000001</v>
      </c>
    </row>
    <row r="78" spans="1:67" x14ac:dyDescent="0.25">
      <c r="A78" s="21" t="s">
        <v>273</v>
      </c>
      <c r="B78" s="84">
        <v>-10773</v>
      </c>
      <c r="C78" s="84">
        <v>85131</v>
      </c>
      <c r="D78" s="84"/>
      <c r="E78" s="84"/>
      <c r="F78" s="84"/>
      <c r="G78" s="84"/>
      <c r="H78" s="84">
        <v>-2956</v>
      </c>
      <c r="I78" s="84">
        <v>36066</v>
      </c>
      <c r="J78" s="84">
        <v>51181</v>
      </c>
      <c r="K78" s="84">
        <v>123923</v>
      </c>
      <c r="L78" s="84">
        <v>1066</v>
      </c>
      <c r="M78" s="84">
        <v>8662</v>
      </c>
      <c r="N78" s="84"/>
      <c r="O78" s="84"/>
      <c r="P78" s="84"/>
      <c r="Q78" s="84"/>
      <c r="R78" s="84">
        <v>21130</v>
      </c>
      <c r="S78" s="84">
        <v>40130</v>
      </c>
      <c r="T78" s="84">
        <v>9</v>
      </c>
      <c r="U78" s="84">
        <v>9</v>
      </c>
      <c r="V78" s="84">
        <v>339</v>
      </c>
      <c r="W78" s="84">
        <v>3416</v>
      </c>
      <c r="X78" s="84">
        <v>27098</v>
      </c>
      <c r="Y78" s="84">
        <v>95455</v>
      </c>
      <c r="Z78" s="84">
        <v>17591</v>
      </c>
      <c r="AA78" s="84">
        <v>121032</v>
      </c>
      <c r="AB78" s="84"/>
      <c r="AC78" s="84"/>
      <c r="AD78" s="84">
        <v>543</v>
      </c>
      <c r="AE78" s="84">
        <v>52780</v>
      </c>
      <c r="AF78" s="84">
        <v>-50</v>
      </c>
      <c r="AG78" s="84">
        <v>1385</v>
      </c>
      <c r="AH78" s="84"/>
      <c r="AI78" s="84"/>
      <c r="AJ78" s="84"/>
      <c r="AK78" s="84"/>
      <c r="AL78" s="84">
        <v>-208524.5087539409</v>
      </c>
      <c r="AM78" s="84">
        <v>74599.179108615615</v>
      </c>
      <c r="AN78" s="84"/>
      <c r="AO78" s="84"/>
      <c r="AP78" s="84">
        <v>2375</v>
      </c>
      <c r="AQ78" s="84">
        <v>12426</v>
      </c>
      <c r="AR78" s="84">
        <v>3801</v>
      </c>
      <c r="AS78" s="84">
        <v>-8541</v>
      </c>
      <c r="AT78" s="84"/>
      <c r="AU78" s="84"/>
      <c r="AV78" s="84">
        <v>-515</v>
      </c>
      <c r="AW78" s="84">
        <v>4568</v>
      </c>
      <c r="AX78" s="84">
        <v>2828</v>
      </c>
      <c r="AY78" s="84">
        <v>20173</v>
      </c>
      <c r="AZ78" s="84">
        <v>-922</v>
      </c>
      <c r="BA78" s="84">
        <v>-1127</v>
      </c>
      <c r="BB78" s="84"/>
      <c r="BC78" s="84"/>
      <c r="BD78" s="103">
        <v>38141</v>
      </c>
      <c r="BE78" s="103">
        <v>268403</v>
      </c>
      <c r="BF78" s="84">
        <v>548656</v>
      </c>
      <c r="BG78" s="84">
        <v>2040864</v>
      </c>
      <c r="BH78" s="103">
        <v>66063</v>
      </c>
      <c r="BI78" s="103">
        <v>202401</v>
      </c>
      <c r="BJ78" s="103">
        <v>-224237</v>
      </c>
      <c r="BK78" s="103">
        <v>355911</v>
      </c>
      <c r="BL78" s="103">
        <v>-4271</v>
      </c>
      <c r="BM78" s="103">
        <v>1807</v>
      </c>
      <c r="BN78" s="73">
        <f t="shared" si="12"/>
        <v>328572.49124605907</v>
      </c>
      <c r="BO78" s="73">
        <f t="shared" si="13"/>
        <v>3539473.1791086155</v>
      </c>
    </row>
    <row r="79" spans="1:67" x14ac:dyDescent="0.25">
      <c r="A79" s="29"/>
    </row>
    <row r="80" spans="1:67" x14ac:dyDescent="0.25">
      <c r="A80" s="30" t="s">
        <v>223</v>
      </c>
    </row>
    <row r="81" spans="1:67" x14ac:dyDescent="0.25">
      <c r="A81" s="3" t="s">
        <v>0</v>
      </c>
      <c r="B81" s="119" t="s">
        <v>1</v>
      </c>
      <c r="C81" s="120"/>
      <c r="D81" s="119" t="s">
        <v>282</v>
      </c>
      <c r="E81" s="120"/>
      <c r="F81" s="119" t="s">
        <v>2</v>
      </c>
      <c r="G81" s="120"/>
      <c r="H81" s="119" t="s">
        <v>3</v>
      </c>
      <c r="I81" s="120"/>
      <c r="J81" s="119" t="s">
        <v>4</v>
      </c>
      <c r="K81" s="120"/>
      <c r="L81" s="119" t="s">
        <v>283</v>
      </c>
      <c r="M81" s="120"/>
      <c r="N81" s="119" t="s">
        <v>6</v>
      </c>
      <c r="O81" s="120"/>
      <c r="P81" s="119" t="s">
        <v>5</v>
      </c>
      <c r="Q81" s="120"/>
      <c r="R81" s="119" t="s">
        <v>7</v>
      </c>
      <c r="S81" s="120"/>
      <c r="T81" s="119" t="s">
        <v>284</v>
      </c>
      <c r="U81" s="120"/>
      <c r="V81" s="119" t="s">
        <v>8</v>
      </c>
      <c r="W81" s="120"/>
      <c r="X81" s="119" t="s">
        <v>9</v>
      </c>
      <c r="Y81" s="120"/>
      <c r="Z81" s="119" t="s">
        <v>10</v>
      </c>
      <c r="AA81" s="120"/>
      <c r="AB81" s="119" t="s">
        <v>293</v>
      </c>
      <c r="AC81" s="120"/>
      <c r="AD81" s="119" t="s">
        <v>11</v>
      </c>
      <c r="AE81" s="120"/>
      <c r="AF81" s="119" t="s">
        <v>12</v>
      </c>
      <c r="AG81" s="120"/>
      <c r="AH81" s="119" t="s">
        <v>285</v>
      </c>
      <c r="AI81" s="120"/>
      <c r="AJ81" s="119" t="s">
        <v>290</v>
      </c>
      <c r="AK81" s="120"/>
      <c r="AL81" s="119" t="s">
        <v>13</v>
      </c>
      <c r="AM81" s="120"/>
      <c r="AN81" s="119" t="s">
        <v>286</v>
      </c>
      <c r="AO81" s="120"/>
      <c r="AP81" s="119" t="s">
        <v>287</v>
      </c>
      <c r="AQ81" s="120"/>
      <c r="AR81" s="119" t="s">
        <v>291</v>
      </c>
      <c r="AS81" s="120"/>
      <c r="AT81" s="119" t="s">
        <v>294</v>
      </c>
      <c r="AU81" s="120"/>
      <c r="AV81" s="119" t="s">
        <v>14</v>
      </c>
      <c r="AW81" s="120"/>
      <c r="AX81" s="119" t="s">
        <v>15</v>
      </c>
      <c r="AY81" s="120"/>
      <c r="AZ81" s="119" t="s">
        <v>16</v>
      </c>
      <c r="BA81" s="120"/>
      <c r="BB81" s="119" t="s">
        <v>17</v>
      </c>
      <c r="BC81" s="120"/>
      <c r="BD81" s="119" t="s">
        <v>18</v>
      </c>
      <c r="BE81" s="120"/>
      <c r="BF81" s="119" t="s">
        <v>288</v>
      </c>
      <c r="BG81" s="120"/>
      <c r="BH81" s="119" t="s">
        <v>289</v>
      </c>
      <c r="BI81" s="120"/>
      <c r="BJ81" s="119" t="s">
        <v>19</v>
      </c>
      <c r="BK81" s="120"/>
      <c r="BL81" s="119" t="s">
        <v>20</v>
      </c>
      <c r="BM81" s="120"/>
      <c r="BN81" s="121" t="s">
        <v>21</v>
      </c>
      <c r="BO81" s="122"/>
    </row>
    <row r="82" spans="1:67" ht="30" x14ac:dyDescent="0.25">
      <c r="A82" s="3"/>
      <c r="B82" s="57" t="s">
        <v>296</v>
      </c>
      <c r="C82" s="58" t="s">
        <v>297</v>
      </c>
      <c r="D82" s="57" t="s">
        <v>296</v>
      </c>
      <c r="E82" s="58" t="s">
        <v>297</v>
      </c>
      <c r="F82" s="57" t="s">
        <v>296</v>
      </c>
      <c r="G82" s="58" t="s">
        <v>297</v>
      </c>
      <c r="H82" s="57" t="s">
        <v>296</v>
      </c>
      <c r="I82" s="58" t="s">
        <v>297</v>
      </c>
      <c r="J82" s="57" t="s">
        <v>296</v>
      </c>
      <c r="K82" s="58" t="s">
        <v>297</v>
      </c>
      <c r="L82" s="57" t="s">
        <v>296</v>
      </c>
      <c r="M82" s="58" t="s">
        <v>297</v>
      </c>
      <c r="N82" s="57" t="s">
        <v>296</v>
      </c>
      <c r="O82" s="58" t="s">
        <v>297</v>
      </c>
      <c r="P82" s="57" t="s">
        <v>296</v>
      </c>
      <c r="Q82" s="58" t="s">
        <v>297</v>
      </c>
      <c r="R82" s="57" t="s">
        <v>296</v>
      </c>
      <c r="S82" s="58" t="s">
        <v>297</v>
      </c>
      <c r="T82" s="57" t="s">
        <v>296</v>
      </c>
      <c r="U82" s="58" t="s">
        <v>297</v>
      </c>
      <c r="V82" s="57" t="s">
        <v>296</v>
      </c>
      <c r="W82" s="58" t="s">
        <v>297</v>
      </c>
      <c r="X82" s="57" t="s">
        <v>296</v>
      </c>
      <c r="Y82" s="58" t="s">
        <v>297</v>
      </c>
      <c r="Z82" s="57" t="s">
        <v>296</v>
      </c>
      <c r="AA82" s="58" t="s">
        <v>297</v>
      </c>
      <c r="AB82" s="57" t="s">
        <v>296</v>
      </c>
      <c r="AC82" s="58" t="s">
        <v>297</v>
      </c>
      <c r="AD82" s="57" t="s">
        <v>296</v>
      </c>
      <c r="AE82" s="58" t="s">
        <v>297</v>
      </c>
      <c r="AF82" s="57" t="s">
        <v>296</v>
      </c>
      <c r="AG82" s="58" t="s">
        <v>297</v>
      </c>
      <c r="AH82" s="57" t="s">
        <v>296</v>
      </c>
      <c r="AI82" s="58" t="s">
        <v>297</v>
      </c>
      <c r="AJ82" s="57" t="s">
        <v>296</v>
      </c>
      <c r="AK82" s="58" t="s">
        <v>297</v>
      </c>
      <c r="AL82" s="57" t="s">
        <v>296</v>
      </c>
      <c r="AM82" s="58" t="s">
        <v>297</v>
      </c>
      <c r="AN82" s="57" t="s">
        <v>296</v>
      </c>
      <c r="AO82" s="58" t="s">
        <v>297</v>
      </c>
      <c r="AP82" s="57" t="s">
        <v>296</v>
      </c>
      <c r="AQ82" s="58" t="s">
        <v>297</v>
      </c>
      <c r="AR82" s="57" t="s">
        <v>296</v>
      </c>
      <c r="AS82" s="58" t="s">
        <v>297</v>
      </c>
      <c r="AT82" s="57" t="s">
        <v>296</v>
      </c>
      <c r="AU82" s="58" t="s">
        <v>297</v>
      </c>
      <c r="AV82" s="57" t="s">
        <v>296</v>
      </c>
      <c r="AW82" s="58" t="s">
        <v>297</v>
      </c>
      <c r="AX82" s="57" t="s">
        <v>296</v>
      </c>
      <c r="AY82" s="58" t="s">
        <v>297</v>
      </c>
      <c r="AZ82" s="57" t="s">
        <v>296</v>
      </c>
      <c r="BA82" s="58" t="s">
        <v>297</v>
      </c>
      <c r="BB82" s="57" t="s">
        <v>296</v>
      </c>
      <c r="BC82" s="58" t="s">
        <v>297</v>
      </c>
      <c r="BD82" s="57" t="s">
        <v>296</v>
      </c>
      <c r="BE82" s="58" t="s">
        <v>297</v>
      </c>
      <c r="BF82" s="57" t="s">
        <v>296</v>
      </c>
      <c r="BG82" s="58" t="s">
        <v>297</v>
      </c>
      <c r="BH82" s="57" t="s">
        <v>296</v>
      </c>
      <c r="BI82" s="58" t="s">
        <v>297</v>
      </c>
      <c r="BJ82" s="57" t="s">
        <v>296</v>
      </c>
      <c r="BK82" s="58" t="s">
        <v>297</v>
      </c>
      <c r="BL82" s="57" t="s">
        <v>296</v>
      </c>
      <c r="BM82" s="58" t="s">
        <v>297</v>
      </c>
      <c r="BN82" s="57" t="s">
        <v>296</v>
      </c>
      <c r="BO82" s="58" t="s">
        <v>297</v>
      </c>
    </row>
    <row r="83" spans="1:67" x14ac:dyDescent="0.25">
      <c r="A83" s="21" t="s">
        <v>228</v>
      </c>
      <c r="B83" s="84"/>
      <c r="C83" s="84"/>
      <c r="D83" s="84"/>
      <c r="E83" s="84"/>
      <c r="F83" s="84"/>
      <c r="G83" s="84"/>
      <c r="H83" s="84">
        <v>34710</v>
      </c>
      <c r="I83" s="84">
        <v>222513</v>
      </c>
      <c r="J83" s="84"/>
      <c r="K83" s="84"/>
      <c r="L83" s="84"/>
      <c r="M83" s="84"/>
      <c r="N83" s="84"/>
      <c r="O83" s="84"/>
      <c r="P83" s="84"/>
      <c r="Q83" s="84"/>
      <c r="R83" s="84">
        <v>4966</v>
      </c>
      <c r="S83" s="84">
        <v>9019</v>
      </c>
      <c r="T83" s="84"/>
      <c r="U83" s="84"/>
      <c r="V83" s="84">
        <v>23</v>
      </c>
      <c r="W83" s="84">
        <v>51289</v>
      </c>
      <c r="X83" s="84">
        <v>118031</v>
      </c>
      <c r="Y83" s="84">
        <v>246380</v>
      </c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84">
        <v>1121130.0979999998</v>
      </c>
      <c r="AM83" s="84">
        <v>1584894.4539999999</v>
      </c>
      <c r="AN83" s="84"/>
      <c r="AO83" s="84"/>
      <c r="AP83" s="84"/>
      <c r="AQ83" s="84"/>
      <c r="AR83" s="84">
        <v>11812</v>
      </c>
      <c r="AS83" s="84">
        <v>195166</v>
      </c>
      <c r="AT83" s="84"/>
      <c r="AU83" s="84"/>
      <c r="AV83" s="84"/>
      <c r="AW83" s="84"/>
      <c r="AX83" s="84">
        <v>1358</v>
      </c>
      <c r="AY83" s="84">
        <v>1358</v>
      </c>
      <c r="AZ83" s="84"/>
      <c r="BA83" s="84"/>
      <c r="BB83" s="84"/>
      <c r="BC83" s="84"/>
      <c r="BD83" s="84"/>
      <c r="BE83" s="84"/>
      <c r="BF83" s="84">
        <v>61849</v>
      </c>
      <c r="BG83" s="84">
        <v>2600626</v>
      </c>
      <c r="BH83" s="103">
        <v>236193</v>
      </c>
      <c r="BI83" s="103">
        <v>1237093</v>
      </c>
      <c r="BJ83" s="103">
        <v>69115</v>
      </c>
      <c r="BK83" s="103">
        <v>1200400</v>
      </c>
      <c r="BL83" s="84"/>
      <c r="BM83" s="84"/>
      <c r="BN83" s="73">
        <f t="shared" ref="BN83:BN89" si="14">SUM(B83+D83+F83+H83+J83+L83+N83+P83+R83+T83+V83+X83+Z83+AB83+AD83+AF83+AH83+AJ83+AL83+AN83+AP83+AR83+AT83+AV83+AX83+AZ83+BB83+BD83+BF83+BH83+BJ83+BL83)</f>
        <v>1659187.0979999998</v>
      </c>
      <c r="BO83" s="73">
        <f t="shared" ref="BO83:BO89" si="15">SUM(C83+E83+G83+I83+K83+M83+O83+Q83+S83+U83+W83+Y83+AA83+AC83+AE83+AG83+AI83+AK83+AM83+AO83+AQ83+AS83+AU83+AW83+AY83+BA83+BC83+BE83+BG83+BI83+BK83+BM83)</f>
        <v>7348738.4539999999</v>
      </c>
    </row>
    <row r="84" spans="1:67" x14ac:dyDescent="0.25">
      <c r="A84" s="21" t="s">
        <v>279</v>
      </c>
      <c r="B84" s="84"/>
      <c r="C84" s="84"/>
      <c r="D84" s="84"/>
      <c r="E84" s="84"/>
      <c r="F84" s="84"/>
      <c r="G84" s="84"/>
      <c r="H84" s="84">
        <v>34351</v>
      </c>
      <c r="I84" s="84">
        <v>754553</v>
      </c>
      <c r="J84" s="84"/>
      <c r="K84" s="84"/>
      <c r="L84" s="84"/>
      <c r="M84" s="84"/>
      <c r="N84" s="84"/>
      <c r="O84" s="84"/>
      <c r="P84" s="84"/>
      <c r="Q84" s="84"/>
      <c r="R84" s="84">
        <v>15079</v>
      </c>
      <c r="S84" s="84">
        <v>15079</v>
      </c>
      <c r="T84" s="84"/>
      <c r="U84" s="84"/>
      <c r="V84" s="84">
        <v>1015534</v>
      </c>
      <c r="W84" s="84">
        <v>1015534</v>
      </c>
      <c r="X84" s="84">
        <v>1523752</v>
      </c>
      <c r="Y84" s="84">
        <v>1523752</v>
      </c>
      <c r="Z84" s="84">
        <v>-170</v>
      </c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>
        <v>71946.785494292621</v>
      </c>
      <c r="AM84" s="84">
        <v>1301563.5830847081</v>
      </c>
      <c r="AN84" s="84"/>
      <c r="AO84" s="84"/>
      <c r="AP84" s="84"/>
      <c r="AQ84" s="84"/>
      <c r="AR84" s="84">
        <v>41895</v>
      </c>
      <c r="AS84" s="84">
        <v>41895</v>
      </c>
      <c r="AT84" s="84"/>
      <c r="AU84" s="84"/>
      <c r="AV84" s="84"/>
      <c r="AW84" s="84"/>
      <c r="AX84" s="84">
        <v>155</v>
      </c>
      <c r="AY84" s="84">
        <v>155</v>
      </c>
      <c r="AZ84" s="84"/>
      <c r="BA84" s="84"/>
      <c r="BB84" s="84"/>
      <c r="BC84" s="84"/>
      <c r="BD84" s="103">
        <v>2367</v>
      </c>
      <c r="BE84" s="103">
        <v>2367</v>
      </c>
      <c r="BF84" s="84">
        <v>2908087</v>
      </c>
      <c r="BG84" s="84">
        <v>2908087</v>
      </c>
      <c r="BH84" s="103">
        <v>-142544</v>
      </c>
      <c r="BI84" s="103">
        <v>1541610</v>
      </c>
      <c r="BJ84" s="103">
        <v>2216689</v>
      </c>
      <c r="BK84" s="103">
        <v>2216689</v>
      </c>
      <c r="BL84" s="84"/>
      <c r="BM84" s="84"/>
      <c r="BN84" s="73">
        <f t="shared" si="14"/>
        <v>7687141.7854942922</v>
      </c>
      <c r="BO84" s="73">
        <f t="shared" si="15"/>
        <v>11321284.583084708</v>
      </c>
    </row>
    <row r="85" spans="1:67" x14ac:dyDescent="0.25">
      <c r="A85" s="21" t="s">
        <v>278</v>
      </c>
      <c r="B85" s="84"/>
      <c r="C85" s="84"/>
      <c r="D85" s="84"/>
      <c r="E85" s="84"/>
      <c r="F85" s="84"/>
      <c r="G85" s="84"/>
      <c r="H85" s="84">
        <v>44689</v>
      </c>
      <c r="I85" s="84">
        <v>787346</v>
      </c>
      <c r="J85" s="84"/>
      <c r="K85" s="84"/>
      <c r="L85" s="84"/>
      <c r="M85" s="84"/>
      <c r="N85" s="84"/>
      <c r="O85" s="84"/>
      <c r="P85" s="84"/>
      <c r="Q85" s="84"/>
      <c r="R85" s="84">
        <v>13394</v>
      </c>
      <c r="S85" s="84">
        <v>5044</v>
      </c>
      <c r="T85" s="84"/>
      <c r="U85" s="84"/>
      <c r="V85" s="84">
        <v>-739310</v>
      </c>
      <c r="W85" s="84">
        <v>-595965</v>
      </c>
      <c r="X85" s="84">
        <v>1729616</v>
      </c>
      <c r="Y85" s="84">
        <v>1737914</v>
      </c>
      <c r="Z85" s="84"/>
      <c r="AA85" s="84">
        <v>799</v>
      </c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>
        <v>1174949.0079999999</v>
      </c>
      <c r="AN85" s="84"/>
      <c r="AO85" s="84"/>
      <c r="AP85" s="84"/>
      <c r="AQ85" s="84"/>
      <c r="AR85" s="84">
        <v>43550</v>
      </c>
      <c r="AS85" s="84">
        <v>8918</v>
      </c>
      <c r="AT85" s="84"/>
      <c r="AU85" s="84"/>
      <c r="AV85" s="84"/>
      <c r="AW85" s="84"/>
      <c r="AX85" s="84">
        <v>162</v>
      </c>
      <c r="AY85" s="84">
        <v>155</v>
      </c>
      <c r="AZ85" s="84"/>
      <c r="BA85" s="84"/>
      <c r="BB85" s="84"/>
      <c r="BC85" s="84"/>
      <c r="BD85" s="103">
        <v>2367</v>
      </c>
      <c r="BE85" s="103">
        <v>2367</v>
      </c>
      <c r="BF85" s="84">
        <v>3234353</v>
      </c>
      <c r="BG85" s="84">
        <v>2487471</v>
      </c>
      <c r="BH85" s="103">
        <v>0</v>
      </c>
      <c r="BI85" s="103">
        <v>980789</v>
      </c>
      <c r="BJ85" s="103">
        <v>1110556</v>
      </c>
      <c r="BK85" s="103">
        <v>821158</v>
      </c>
      <c r="BL85" s="84"/>
      <c r="BM85" s="84"/>
      <c r="BN85" s="73">
        <f t="shared" si="14"/>
        <v>5439377</v>
      </c>
      <c r="BO85" s="73">
        <f t="shared" si="15"/>
        <v>7410945.0079999994</v>
      </c>
    </row>
    <row r="86" spans="1:67" x14ac:dyDescent="0.25">
      <c r="A86" s="21" t="s">
        <v>281</v>
      </c>
      <c r="B86" s="84"/>
      <c r="C86" s="84"/>
      <c r="D86" s="84"/>
      <c r="E86" s="84"/>
      <c r="F86" s="84"/>
      <c r="G86" s="84"/>
      <c r="H86" s="84">
        <v>-44431</v>
      </c>
      <c r="I86" s="84">
        <v>189720</v>
      </c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>
        <v>276248</v>
      </c>
      <c r="W86" s="84">
        <v>470858</v>
      </c>
      <c r="X86" s="84">
        <v>-87832</v>
      </c>
      <c r="Y86" s="84">
        <v>32218</v>
      </c>
      <c r="Z86" s="84">
        <v>-170</v>
      </c>
      <c r="AA86" s="84">
        <v>-799</v>
      </c>
      <c r="AB86" s="84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84"/>
      <c r="AP86" s="84"/>
      <c r="AQ86" s="84"/>
      <c r="AR86" s="84"/>
      <c r="AS86" s="84"/>
      <c r="AT86" s="84"/>
      <c r="AU86" s="84"/>
      <c r="AV86" s="84"/>
      <c r="AW86" s="84"/>
      <c r="AX86" s="84"/>
      <c r="AY86" s="84"/>
      <c r="AZ86" s="84"/>
      <c r="BA86" s="84"/>
      <c r="BB86" s="84"/>
      <c r="BC86" s="84"/>
      <c r="BD86" s="84"/>
      <c r="BE86" s="84"/>
      <c r="BF86" s="84">
        <v>-264418</v>
      </c>
      <c r="BG86" s="84">
        <v>3021242</v>
      </c>
      <c r="BH86" s="103">
        <v>93649</v>
      </c>
      <c r="BI86" s="103">
        <v>1797914</v>
      </c>
      <c r="BJ86" s="103">
        <v>1175248</v>
      </c>
      <c r="BK86" s="103">
        <v>2595931</v>
      </c>
      <c r="BL86" s="84"/>
      <c r="BM86" s="84"/>
      <c r="BN86" s="73">
        <f t="shared" si="14"/>
        <v>1148294</v>
      </c>
      <c r="BO86" s="73">
        <f t="shared" si="15"/>
        <v>8107084</v>
      </c>
    </row>
    <row r="87" spans="1:67" x14ac:dyDescent="0.25">
      <c r="A87" s="21" t="s">
        <v>276</v>
      </c>
      <c r="B87" s="8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>
        <v>1599</v>
      </c>
      <c r="W87" s="84">
        <v>15768</v>
      </c>
      <c r="X87" s="84">
        <v>20112</v>
      </c>
      <c r="Y87" s="84">
        <v>202206</v>
      </c>
      <c r="Z87" s="84"/>
      <c r="AA87" s="84">
        <v>728</v>
      </c>
      <c r="AB87" s="84"/>
      <c r="AC87" s="84"/>
      <c r="AD87" s="84"/>
      <c r="AE87" s="84"/>
      <c r="AF87" s="84"/>
      <c r="AG87" s="84"/>
      <c r="AH87" s="84"/>
      <c r="AI87" s="84"/>
      <c r="AJ87" s="84"/>
      <c r="AK87" s="84"/>
      <c r="AL87" s="84">
        <v>528714.68699999992</v>
      </c>
      <c r="AM87" s="84">
        <v>679270.29599999997</v>
      </c>
      <c r="AN87" s="84"/>
      <c r="AO87" s="84"/>
      <c r="AP87" s="84"/>
      <c r="AQ87" s="84"/>
      <c r="AR87" s="84"/>
      <c r="AS87" s="84"/>
      <c r="AT87" s="84"/>
      <c r="AU87" s="84"/>
      <c r="AV87" s="84"/>
      <c r="AW87" s="84"/>
      <c r="AX87" s="84"/>
      <c r="AY87" s="84"/>
      <c r="AZ87" s="84"/>
      <c r="BA87" s="84"/>
      <c r="BB87" s="84"/>
      <c r="BC87" s="84"/>
      <c r="BD87" s="84"/>
      <c r="BE87" s="84"/>
      <c r="BF87" s="84">
        <v>353093</v>
      </c>
      <c r="BG87" s="84">
        <v>1027823</v>
      </c>
      <c r="BH87" s="103">
        <v>336285</v>
      </c>
      <c r="BI87" s="103">
        <v>1140015</v>
      </c>
      <c r="BJ87" s="103">
        <v>49270</v>
      </c>
      <c r="BK87" s="103">
        <v>238812</v>
      </c>
      <c r="BL87" s="84"/>
      <c r="BM87" s="84"/>
      <c r="BN87" s="73">
        <f t="shared" si="14"/>
        <v>1289073.6869999999</v>
      </c>
      <c r="BO87" s="73">
        <f t="shared" si="15"/>
        <v>3304622.2960000001</v>
      </c>
    </row>
    <row r="88" spans="1:67" x14ac:dyDescent="0.25">
      <c r="A88" s="21" t="s">
        <v>277</v>
      </c>
      <c r="B88" s="84"/>
      <c r="C88" s="84"/>
      <c r="D88" s="84"/>
      <c r="E88" s="84"/>
      <c r="F88" s="84"/>
      <c r="G88" s="84"/>
      <c r="H88" s="84">
        <v>11665</v>
      </c>
      <c r="I88" s="84">
        <v>99653</v>
      </c>
      <c r="J88" s="84"/>
      <c r="K88" s="84"/>
      <c r="L88" s="84"/>
      <c r="M88" s="84"/>
      <c r="N88" s="84"/>
      <c r="O88" s="84"/>
      <c r="P88" s="84"/>
      <c r="Q88" s="84"/>
      <c r="R88" s="84">
        <v>248</v>
      </c>
      <c r="S88" s="84">
        <v>451</v>
      </c>
      <c r="T88" s="84"/>
      <c r="U88" s="84"/>
      <c r="V88" s="84">
        <v>-16</v>
      </c>
      <c r="W88" s="84">
        <v>-51193</v>
      </c>
      <c r="X88" s="84">
        <v>47441</v>
      </c>
      <c r="Y88" s="84">
        <v>102812</v>
      </c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>
        <v>1042888.378</v>
      </c>
      <c r="AM88" s="84">
        <v>1349590.5190000001</v>
      </c>
      <c r="AN88" s="84"/>
      <c r="AO88" s="84"/>
      <c r="AP88" s="84"/>
      <c r="AQ88" s="84"/>
      <c r="AR88" s="84">
        <v>11802</v>
      </c>
      <c r="AS88" s="84">
        <v>195127</v>
      </c>
      <c r="AT88" s="84"/>
      <c r="AU88" s="84"/>
      <c r="AV88" s="84"/>
      <c r="AW88" s="84"/>
      <c r="AX88" s="84">
        <v>1350</v>
      </c>
      <c r="AY88" s="84">
        <v>1350</v>
      </c>
      <c r="AZ88" s="84"/>
      <c r="BA88" s="84"/>
      <c r="BB88" s="84"/>
      <c r="BC88" s="84"/>
      <c r="BD88" s="84"/>
      <c r="BE88" s="84"/>
      <c r="BF88" s="84">
        <v>74943</v>
      </c>
      <c r="BG88" s="84">
        <v>2112714</v>
      </c>
      <c r="BH88" s="103">
        <v>142064</v>
      </c>
      <c r="BI88" s="103">
        <v>1547884</v>
      </c>
      <c r="BJ88" s="103">
        <v>754863</v>
      </c>
      <c r="BK88" s="103">
        <v>2012394</v>
      </c>
      <c r="BL88" s="84"/>
      <c r="BM88" s="84"/>
      <c r="BN88" s="73">
        <f t="shared" si="14"/>
        <v>2087248.378</v>
      </c>
      <c r="BO88" s="73">
        <f t="shared" si="15"/>
        <v>7370782.5190000003</v>
      </c>
    </row>
    <row r="89" spans="1:67" x14ac:dyDescent="0.25">
      <c r="A89" s="21" t="s">
        <v>273</v>
      </c>
      <c r="B89" s="84"/>
      <c r="C89" s="84"/>
      <c r="D89" s="84"/>
      <c r="E89" s="84"/>
      <c r="F89" s="84"/>
      <c r="G89" s="84"/>
      <c r="H89" s="84">
        <v>45465</v>
      </c>
      <c r="I89" s="84">
        <v>191628</v>
      </c>
      <c r="J89" s="84"/>
      <c r="K89" s="84"/>
      <c r="L89" s="84"/>
      <c r="M89" s="84"/>
      <c r="N89" s="84"/>
      <c r="O89" s="84"/>
      <c r="P89" s="84"/>
      <c r="Q89" s="84"/>
      <c r="R89" s="84">
        <v>6402</v>
      </c>
      <c r="S89" s="84">
        <v>18603</v>
      </c>
      <c r="T89" s="84"/>
      <c r="U89" s="84"/>
      <c r="V89" s="84">
        <v>10131</v>
      </c>
      <c r="W89" s="84">
        <v>14647</v>
      </c>
      <c r="X89" s="84">
        <v>-27492</v>
      </c>
      <c r="Y89" s="84">
        <v>192479</v>
      </c>
      <c r="Z89" s="84">
        <v>-170</v>
      </c>
      <c r="AA89" s="84">
        <v>-71</v>
      </c>
      <c r="AB89" s="84"/>
      <c r="AC89" s="84"/>
      <c r="AD89" s="84"/>
      <c r="AE89" s="84"/>
      <c r="AF89" s="84"/>
      <c r="AG89" s="84"/>
      <c r="AH89" s="84"/>
      <c r="AI89" s="84"/>
      <c r="AJ89" s="84"/>
      <c r="AK89" s="84"/>
      <c r="AL89" s="84">
        <v>678903.19249429228</v>
      </c>
      <c r="AM89" s="84">
        <v>1041188.8060847078</v>
      </c>
      <c r="AN89" s="84"/>
      <c r="AO89" s="84"/>
      <c r="AP89" s="84"/>
      <c r="AQ89" s="84"/>
      <c r="AR89" s="84">
        <v>-1645</v>
      </c>
      <c r="AS89" s="84">
        <v>33016</v>
      </c>
      <c r="AT89" s="84"/>
      <c r="AU89" s="84"/>
      <c r="AV89" s="84"/>
      <c r="AW89" s="84"/>
      <c r="AX89" s="84">
        <v>1</v>
      </c>
      <c r="AY89" s="84">
        <v>8</v>
      </c>
      <c r="AZ89" s="84"/>
      <c r="BA89" s="84"/>
      <c r="BB89" s="84"/>
      <c r="BC89" s="84"/>
      <c r="BD89" s="84"/>
      <c r="BE89" s="84"/>
      <c r="BF89" s="84">
        <v>191803</v>
      </c>
      <c r="BG89" s="84">
        <v>1476221</v>
      </c>
      <c r="BH89" s="103">
        <v>287870</v>
      </c>
      <c r="BI89" s="103">
        <v>1390045</v>
      </c>
      <c r="BJ89" s="103">
        <v>469655</v>
      </c>
      <c r="BK89" s="103">
        <v>822349</v>
      </c>
      <c r="BL89" s="84"/>
      <c r="BM89" s="84"/>
      <c r="BN89" s="73">
        <f t="shared" si="14"/>
        <v>1660923.1924942923</v>
      </c>
      <c r="BO89" s="73">
        <f t="shared" si="15"/>
        <v>5180113.8060847074</v>
      </c>
    </row>
    <row r="90" spans="1:67" x14ac:dyDescent="0.25">
      <c r="A90" s="13"/>
    </row>
    <row r="91" spans="1:67" x14ac:dyDescent="0.25">
      <c r="A91" s="28" t="s">
        <v>224</v>
      </c>
    </row>
    <row r="92" spans="1:67" x14ac:dyDescent="0.25">
      <c r="A92" s="3" t="s">
        <v>0</v>
      </c>
      <c r="B92" s="119" t="s">
        <v>1</v>
      </c>
      <c r="C92" s="120"/>
      <c r="D92" s="119" t="s">
        <v>282</v>
      </c>
      <c r="E92" s="120"/>
      <c r="F92" s="119" t="s">
        <v>2</v>
      </c>
      <c r="G92" s="120"/>
      <c r="H92" s="119" t="s">
        <v>3</v>
      </c>
      <c r="I92" s="120"/>
      <c r="J92" s="119" t="s">
        <v>4</v>
      </c>
      <c r="K92" s="120"/>
      <c r="L92" s="119" t="s">
        <v>283</v>
      </c>
      <c r="M92" s="120"/>
      <c r="N92" s="119" t="s">
        <v>6</v>
      </c>
      <c r="O92" s="120"/>
      <c r="P92" s="119" t="s">
        <v>5</v>
      </c>
      <c r="Q92" s="120"/>
      <c r="R92" s="119" t="s">
        <v>7</v>
      </c>
      <c r="S92" s="120"/>
      <c r="T92" s="119" t="s">
        <v>284</v>
      </c>
      <c r="U92" s="120"/>
      <c r="V92" s="119" t="s">
        <v>8</v>
      </c>
      <c r="W92" s="120"/>
      <c r="X92" s="119" t="s">
        <v>9</v>
      </c>
      <c r="Y92" s="120"/>
      <c r="Z92" s="119" t="s">
        <v>10</v>
      </c>
      <c r="AA92" s="120"/>
      <c r="AB92" s="119" t="s">
        <v>293</v>
      </c>
      <c r="AC92" s="120"/>
      <c r="AD92" s="119" t="s">
        <v>11</v>
      </c>
      <c r="AE92" s="120"/>
      <c r="AF92" s="119" t="s">
        <v>12</v>
      </c>
      <c r="AG92" s="120"/>
      <c r="AH92" s="119" t="s">
        <v>285</v>
      </c>
      <c r="AI92" s="120"/>
      <c r="AJ92" s="119" t="s">
        <v>290</v>
      </c>
      <c r="AK92" s="120"/>
      <c r="AL92" s="119" t="s">
        <v>13</v>
      </c>
      <c r="AM92" s="120"/>
      <c r="AN92" s="119" t="s">
        <v>286</v>
      </c>
      <c r="AO92" s="120"/>
      <c r="AP92" s="119" t="s">
        <v>287</v>
      </c>
      <c r="AQ92" s="120"/>
      <c r="AR92" s="119" t="s">
        <v>291</v>
      </c>
      <c r="AS92" s="120"/>
      <c r="AT92" s="119" t="s">
        <v>294</v>
      </c>
      <c r="AU92" s="120"/>
      <c r="AV92" s="119" t="s">
        <v>14</v>
      </c>
      <c r="AW92" s="120"/>
      <c r="AX92" s="119" t="s">
        <v>15</v>
      </c>
      <c r="AY92" s="120"/>
      <c r="AZ92" s="119" t="s">
        <v>16</v>
      </c>
      <c r="BA92" s="120"/>
      <c r="BB92" s="119" t="s">
        <v>17</v>
      </c>
      <c r="BC92" s="120"/>
      <c r="BD92" s="119" t="s">
        <v>18</v>
      </c>
      <c r="BE92" s="120"/>
      <c r="BF92" s="119" t="s">
        <v>288</v>
      </c>
      <c r="BG92" s="120"/>
      <c r="BH92" s="119" t="s">
        <v>289</v>
      </c>
      <c r="BI92" s="120"/>
      <c r="BJ92" s="119" t="s">
        <v>19</v>
      </c>
      <c r="BK92" s="120"/>
      <c r="BL92" s="119" t="s">
        <v>20</v>
      </c>
      <c r="BM92" s="120"/>
      <c r="BN92" s="121" t="s">
        <v>21</v>
      </c>
      <c r="BO92" s="122"/>
    </row>
    <row r="93" spans="1:67" ht="30" x14ac:dyDescent="0.25">
      <c r="A93" s="3"/>
      <c r="B93" s="57" t="s">
        <v>296</v>
      </c>
      <c r="C93" s="58" t="s">
        <v>297</v>
      </c>
      <c r="D93" s="57" t="s">
        <v>296</v>
      </c>
      <c r="E93" s="58" t="s">
        <v>297</v>
      </c>
      <c r="F93" s="57" t="s">
        <v>296</v>
      </c>
      <c r="G93" s="58" t="s">
        <v>297</v>
      </c>
      <c r="H93" s="57" t="s">
        <v>296</v>
      </c>
      <c r="I93" s="58" t="s">
        <v>297</v>
      </c>
      <c r="J93" s="57" t="s">
        <v>296</v>
      </c>
      <c r="K93" s="58" t="s">
        <v>297</v>
      </c>
      <c r="L93" s="57" t="s">
        <v>296</v>
      </c>
      <c r="M93" s="58" t="s">
        <v>297</v>
      </c>
      <c r="N93" s="57" t="s">
        <v>296</v>
      </c>
      <c r="O93" s="58" t="s">
        <v>297</v>
      </c>
      <c r="P93" s="57" t="s">
        <v>296</v>
      </c>
      <c r="Q93" s="58" t="s">
        <v>297</v>
      </c>
      <c r="R93" s="57" t="s">
        <v>296</v>
      </c>
      <c r="S93" s="58" t="s">
        <v>297</v>
      </c>
      <c r="T93" s="57" t="s">
        <v>296</v>
      </c>
      <c r="U93" s="58" t="s">
        <v>297</v>
      </c>
      <c r="V93" s="57" t="s">
        <v>296</v>
      </c>
      <c r="W93" s="58" t="s">
        <v>297</v>
      </c>
      <c r="X93" s="57" t="s">
        <v>296</v>
      </c>
      <c r="Y93" s="58" t="s">
        <v>297</v>
      </c>
      <c r="Z93" s="57" t="s">
        <v>296</v>
      </c>
      <c r="AA93" s="58" t="s">
        <v>297</v>
      </c>
      <c r="AB93" s="57" t="s">
        <v>296</v>
      </c>
      <c r="AC93" s="58" t="s">
        <v>297</v>
      </c>
      <c r="AD93" s="57" t="s">
        <v>296</v>
      </c>
      <c r="AE93" s="58" t="s">
        <v>297</v>
      </c>
      <c r="AF93" s="57" t="s">
        <v>296</v>
      </c>
      <c r="AG93" s="58" t="s">
        <v>297</v>
      </c>
      <c r="AH93" s="57" t="s">
        <v>296</v>
      </c>
      <c r="AI93" s="58" t="s">
        <v>297</v>
      </c>
      <c r="AJ93" s="57" t="s">
        <v>296</v>
      </c>
      <c r="AK93" s="58" t="s">
        <v>297</v>
      </c>
      <c r="AL93" s="57" t="s">
        <v>296</v>
      </c>
      <c r="AM93" s="58" t="s">
        <v>297</v>
      </c>
      <c r="AN93" s="57" t="s">
        <v>296</v>
      </c>
      <c r="AO93" s="58" t="s">
        <v>297</v>
      </c>
      <c r="AP93" s="57" t="s">
        <v>296</v>
      </c>
      <c r="AQ93" s="58" t="s">
        <v>297</v>
      </c>
      <c r="AR93" s="57" t="s">
        <v>296</v>
      </c>
      <c r="AS93" s="58" t="s">
        <v>297</v>
      </c>
      <c r="AT93" s="57" t="s">
        <v>296</v>
      </c>
      <c r="AU93" s="58" t="s">
        <v>297</v>
      </c>
      <c r="AV93" s="57" t="s">
        <v>296</v>
      </c>
      <c r="AW93" s="58" t="s">
        <v>297</v>
      </c>
      <c r="AX93" s="57" t="s">
        <v>296</v>
      </c>
      <c r="AY93" s="58" t="s">
        <v>297</v>
      </c>
      <c r="AZ93" s="57" t="s">
        <v>296</v>
      </c>
      <c r="BA93" s="58" t="s">
        <v>297</v>
      </c>
      <c r="BB93" s="57" t="s">
        <v>296</v>
      </c>
      <c r="BC93" s="58" t="s">
        <v>297</v>
      </c>
      <c r="BD93" s="57" t="s">
        <v>296</v>
      </c>
      <c r="BE93" s="58" t="s">
        <v>297</v>
      </c>
      <c r="BF93" s="57" t="s">
        <v>296</v>
      </c>
      <c r="BG93" s="58" t="s">
        <v>297</v>
      </c>
      <c r="BH93" s="57" t="s">
        <v>296</v>
      </c>
      <c r="BI93" s="58" t="s">
        <v>297</v>
      </c>
      <c r="BJ93" s="57" t="s">
        <v>296</v>
      </c>
      <c r="BK93" s="58" t="s">
        <v>297</v>
      </c>
      <c r="BL93" s="57" t="s">
        <v>296</v>
      </c>
      <c r="BM93" s="58" t="s">
        <v>297</v>
      </c>
      <c r="BN93" s="57" t="s">
        <v>296</v>
      </c>
      <c r="BO93" s="58" t="s">
        <v>297</v>
      </c>
    </row>
    <row r="94" spans="1:67" x14ac:dyDescent="0.25">
      <c r="A94" s="21" t="s">
        <v>228</v>
      </c>
      <c r="B94" s="84">
        <f>B105-B83-B72-B61-B39-B28-B17-B6-B50</f>
        <v>6</v>
      </c>
      <c r="C94" s="84">
        <f t="shared" ref="C94:AG94" si="16">C105-C83-C72-C61-C39-C28-C17-C6-C50</f>
        <v>6</v>
      </c>
      <c r="D94" s="84">
        <f t="shared" si="16"/>
        <v>0</v>
      </c>
      <c r="E94" s="84">
        <f t="shared" si="16"/>
        <v>0</v>
      </c>
      <c r="F94" s="84">
        <f t="shared" si="16"/>
        <v>13248726</v>
      </c>
      <c r="G94" s="84">
        <f t="shared" si="16"/>
        <v>84884836</v>
      </c>
      <c r="H94" s="84">
        <f t="shared" si="16"/>
        <v>3723435</v>
      </c>
      <c r="I94" s="84">
        <f t="shared" si="16"/>
        <v>24997865</v>
      </c>
      <c r="J94" s="84">
        <f t="shared" si="16"/>
        <v>684583</v>
      </c>
      <c r="K94" s="84">
        <f t="shared" si="16"/>
        <v>1585583</v>
      </c>
      <c r="L94" s="84">
        <f t="shared" si="16"/>
        <v>70044</v>
      </c>
      <c r="M94" s="84">
        <f t="shared" si="16"/>
        <v>409251</v>
      </c>
      <c r="N94" s="84">
        <f t="shared" si="16"/>
        <v>3858025.69</v>
      </c>
      <c r="O94" s="84">
        <f t="shared" si="16"/>
        <v>10467405.689999999</v>
      </c>
      <c r="P94" s="84">
        <f t="shared" si="16"/>
        <v>3</v>
      </c>
      <c r="Q94" s="84">
        <f t="shared" si="16"/>
        <v>8</v>
      </c>
      <c r="R94" s="84">
        <f t="shared" si="16"/>
        <v>2720367</v>
      </c>
      <c r="S94" s="84">
        <f t="shared" si="16"/>
        <v>6710222</v>
      </c>
      <c r="T94" s="84">
        <f t="shared" si="16"/>
        <v>144304</v>
      </c>
      <c r="U94" s="84">
        <f t="shared" si="16"/>
        <v>263703</v>
      </c>
      <c r="V94" s="84">
        <f t="shared" si="16"/>
        <v>1862445</v>
      </c>
      <c r="W94" s="84">
        <f t="shared" si="16"/>
        <v>17359644</v>
      </c>
      <c r="X94" s="84">
        <f t="shared" si="16"/>
        <v>679634</v>
      </c>
      <c r="Y94" s="84">
        <f t="shared" si="16"/>
        <v>23239785</v>
      </c>
      <c r="Z94" s="84">
        <f t="shared" si="16"/>
        <v>1783176</v>
      </c>
      <c r="AA94" s="84">
        <f t="shared" si="16"/>
        <v>17562043</v>
      </c>
      <c r="AB94" s="84">
        <f t="shared" si="16"/>
        <v>2676</v>
      </c>
      <c r="AC94" s="84">
        <f t="shared" si="16"/>
        <v>5719</v>
      </c>
      <c r="AD94" s="84">
        <f t="shared" si="16"/>
        <v>47585</v>
      </c>
      <c r="AE94" s="84">
        <f t="shared" si="16"/>
        <v>155285</v>
      </c>
      <c r="AF94" s="84">
        <f t="shared" si="16"/>
        <v>9564</v>
      </c>
      <c r="AG94" s="84">
        <f t="shared" si="16"/>
        <v>15046</v>
      </c>
      <c r="AH94" s="84">
        <f t="shared" ref="AH94:BM94" si="17">AH105-AH83-AH72-AH61-AH39-AH28-AH17-AH6-AH50</f>
        <v>0</v>
      </c>
      <c r="AI94" s="84">
        <f t="shared" si="17"/>
        <v>0</v>
      </c>
      <c r="AJ94" s="84">
        <f t="shared" si="17"/>
        <v>0</v>
      </c>
      <c r="AK94" s="84">
        <f t="shared" si="17"/>
        <v>1</v>
      </c>
      <c r="AL94" s="84">
        <f t="shared" si="17"/>
        <v>8776399.908000011</v>
      </c>
      <c r="AM94" s="84">
        <f t="shared" si="17"/>
        <v>21287037.397</v>
      </c>
      <c r="AN94" s="84">
        <f t="shared" si="17"/>
        <v>12617</v>
      </c>
      <c r="AO94" s="84">
        <f t="shared" si="17"/>
        <v>58294</v>
      </c>
      <c r="AP94" s="84">
        <f t="shared" si="17"/>
        <v>39374</v>
      </c>
      <c r="AQ94" s="84">
        <f t="shared" si="17"/>
        <v>115901</v>
      </c>
      <c r="AR94" s="84">
        <f t="shared" si="17"/>
        <v>4664886</v>
      </c>
      <c r="AS94" s="84">
        <f t="shared" si="17"/>
        <v>15049333</v>
      </c>
      <c r="AT94" s="84">
        <f t="shared" si="17"/>
        <v>0</v>
      </c>
      <c r="AU94" s="84">
        <f t="shared" si="17"/>
        <v>0</v>
      </c>
      <c r="AV94" s="84">
        <f t="shared" si="17"/>
        <v>9038</v>
      </c>
      <c r="AW94" s="84">
        <f t="shared" si="17"/>
        <v>2223228</v>
      </c>
      <c r="AX94" s="84">
        <f t="shared" ref="AX94:AY94" si="18">AX105-AX83-AX72-AX61-AX39-AX28-AX17-AX6-AX50</f>
        <v>7928517</v>
      </c>
      <c r="AY94" s="84">
        <f t="shared" si="18"/>
        <v>21991779</v>
      </c>
      <c r="AZ94" s="84">
        <f t="shared" si="17"/>
        <v>13594</v>
      </c>
      <c r="BA94" s="84">
        <f t="shared" si="17"/>
        <v>24495</v>
      </c>
      <c r="BB94" s="84">
        <f t="shared" si="17"/>
        <v>20462136</v>
      </c>
      <c r="BC94" s="84">
        <f t="shared" si="17"/>
        <v>53407194</v>
      </c>
      <c r="BD94" s="84">
        <f t="shared" si="17"/>
        <v>303652</v>
      </c>
      <c r="BE94" s="84">
        <f t="shared" si="17"/>
        <v>1674867</v>
      </c>
      <c r="BF94" s="84">
        <f t="shared" si="17"/>
        <v>5970382</v>
      </c>
      <c r="BG94" s="84">
        <f t="shared" si="17"/>
        <v>33291974</v>
      </c>
      <c r="BH94" s="84">
        <f t="shared" si="17"/>
        <v>4959239</v>
      </c>
      <c r="BI94" s="84">
        <f t="shared" si="17"/>
        <v>27614103</v>
      </c>
      <c r="BJ94" s="84">
        <f t="shared" si="17"/>
        <v>6490063</v>
      </c>
      <c r="BK94" s="84">
        <f t="shared" si="17"/>
        <v>24028732</v>
      </c>
      <c r="BL94" s="84">
        <f t="shared" si="17"/>
        <v>1997712</v>
      </c>
      <c r="BM94" s="84">
        <f t="shared" si="17"/>
        <v>3406777</v>
      </c>
      <c r="BN94" s="73">
        <f t="shared" ref="BN94:BN100" si="19">SUM(B94+D94+F94+H94+J94+L94+N94+P94+R94+T94+V94+X94+Z94+AB94+AD94+AF94+AH94+AJ94+AL94+AN94+AP94+AR94+AT94+AV94+AX94+AZ94+BB94+BD94+BF94+BH94+BJ94+BL94)</f>
        <v>90462183.59800002</v>
      </c>
      <c r="BO94" s="73">
        <f t="shared" ref="BO94:BO100" si="20">SUM(C94+E94+G94+I94+K94+M94+O94+Q94+S94+U94+W94+Y94+AA94+AC94+AE94+AG94+AI94+AK94+AM94+AO94+AQ94+AS94+AU94+AW94+AY94+BA94+BC94+BE94+BG94+BI94+BK94+BM94)</f>
        <v>391830117.08700001</v>
      </c>
    </row>
    <row r="95" spans="1:67" x14ac:dyDescent="0.25">
      <c r="A95" s="21" t="s">
        <v>279</v>
      </c>
      <c r="B95" s="84">
        <f t="shared" ref="B95:AG95" si="21">B106-B84-B73-B62-B40-B29-B18-B7-B51</f>
        <v>56</v>
      </c>
      <c r="C95" s="84">
        <f t="shared" si="21"/>
        <v>56</v>
      </c>
      <c r="D95" s="84">
        <f t="shared" si="21"/>
        <v>0</v>
      </c>
      <c r="E95" s="84">
        <f t="shared" si="21"/>
        <v>0</v>
      </c>
      <c r="F95" s="84">
        <f t="shared" si="21"/>
        <v>8234393</v>
      </c>
      <c r="G95" s="84">
        <f t="shared" si="21"/>
        <v>70911812</v>
      </c>
      <c r="H95" s="84">
        <f t="shared" si="21"/>
        <v>-2979113</v>
      </c>
      <c r="I95" s="84">
        <f t="shared" si="21"/>
        <v>20189265</v>
      </c>
      <c r="J95" s="84">
        <f t="shared" si="21"/>
        <v>-563292</v>
      </c>
      <c r="K95" s="84">
        <f t="shared" si="21"/>
        <v>1195746</v>
      </c>
      <c r="L95" s="84">
        <f t="shared" si="21"/>
        <v>153894</v>
      </c>
      <c r="M95" s="84">
        <f t="shared" si="21"/>
        <v>153894</v>
      </c>
      <c r="N95" s="84">
        <f t="shared" si="21"/>
        <v>-304502.59999999998</v>
      </c>
      <c r="O95" s="84">
        <f t="shared" si="21"/>
        <v>68853346.290000007</v>
      </c>
      <c r="P95" s="84">
        <f t="shared" si="21"/>
        <v>1427</v>
      </c>
      <c r="Q95" s="84">
        <f t="shared" si="21"/>
        <v>1427</v>
      </c>
      <c r="R95" s="84">
        <f t="shared" si="21"/>
        <v>1919815</v>
      </c>
      <c r="S95" s="84">
        <f t="shared" si="21"/>
        <v>1919815</v>
      </c>
      <c r="T95" s="84">
        <f t="shared" si="21"/>
        <v>336065</v>
      </c>
      <c r="U95" s="84">
        <f t="shared" si="21"/>
        <v>336065</v>
      </c>
      <c r="V95" s="84">
        <f t="shared" si="21"/>
        <v>26252942</v>
      </c>
      <c r="W95" s="84">
        <f t="shared" si="21"/>
        <v>26252942</v>
      </c>
      <c r="X95" s="84">
        <f t="shared" si="21"/>
        <v>13533826</v>
      </c>
      <c r="Y95" s="84">
        <f t="shared" si="21"/>
        <v>13533826</v>
      </c>
      <c r="Z95" s="84">
        <f t="shared" si="21"/>
        <v>-596311</v>
      </c>
      <c r="AA95" s="84">
        <f t="shared" si="21"/>
        <v>3185420</v>
      </c>
      <c r="AB95" s="84">
        <f t="shared" si="21"/>
        <v>24924</v>
      </c>
      <c r="AC95" s="84">
        <f t="shared" si="21"/>
        <v>24924</v>
      </c>
      <c r="AD95" s="84">
        <f t="shared" si="21"/>
        <v>367709</v>
      </c>
      <c r="AE95" s="84">
        <f t="shared" si="21"/>
        <v>367709</v>
      </c>
      <c r="AF95" s="84">
        <f t="shared" si="21"/>
        <v>1185301</v>
      </c>
      <c r="AG95" s="84">
        <f t="shared" si="21"/>
        <v>1185301</v>
      </c>
      <c r="AH95" s="84">
        <f t="shared" ref="AH95:BM95" si="22">AH106-AH84-AH73-AH62-AH40-AH29-AH18-AH7-AH51</f>
        <v>-1</v>
      </c>
      <c r="AI95" s="84">
        <f t="shared" si="22"/>
        <v>0</v>
      </c>
      <c r="AJ95" s="84">
        <f t="shared" si="22"/>
        <v>0</v>
      </c>
      <c r="AK95" s="84">
        <f t="shared" si="22"/>
        <v>0</v>
      </c>
      <c r="AL95" s="84">
        <f t="shared" si="22"/>
        <v>-1518249.4435230878</v>
      </c>
      <c r="AM95" s="84">
        <f t="shared" si="22"/>
        <v>15191489.502005368</v>
      </c>
      <c r="AN95" s="84">
        <f t="shared" si="22"/>
        <v>15425</v>
      </c>
      <c r="AO95" s="84">
        <f t="shared" si="22"/>
        <v>15425</v>
      </c>
      <c r="AP95" s="84">
        <f t="shared" si="22"/>
        <v>48471</v>
      </c>
      <c r="AQ95" s="84">
        <f t="shared" si="22"/>
        <v>501725</v>
      </c>
      <c r="AR95" s="84">
        <f t="shared" si="22"/>
        <v>5318510</v>
      </c>
      <c r="AS95" s="84">
        <f t="shared" si="22"/>
        <v>5318510</v>
      </c>
      <c r="AT95" s="84">
        <f t="shared" si="22"/>
        <v>0</v>
      </c>
      <c r="AU95" s="84">
        <f t="shared" si="22"/>
        <v>0</v>
      </c>
      <c r="AV95" s="84">
        <f t="shared" si="22"/>
        <v>0</v>
      </c>
      <c r="AW95" s="84">
        <f t="shared" si="22"/>
        <v>1437698</v>
      </c>
      <c r="AX95" s="84">
        <f t="shared" ref="AX95:AY95" si="23">AX106-AX84-AX73-AX62-AX40-AX29-AX18-AX7-AX51</f>
        <v>5310935</v>
      </c>
      <c r="AY95" s="84">
        <f t="shared" si="23"/>
        <v>5310935</v>
      </c>
      <c r="AZ95" s="84">
        <f t="shared" si="22"/>
        <v>147659</v>
      </c>
      <c r="BA95" s="84">
        <f t="shared" si="22"/>
        <v>147660</v>
      </c>
      <c r="BB95" s="84">
        <f t="shared" si="22"/>
        <v>9090902</v>
      </c>
      <c r="BC95" s="84">
        <f t="shared" si="22"/>
        <v>9090902</v>
      </c>
      <c r="BD95" s="84">
        <f t="shared" si="22"/>
        <v>2170356</v>
      </c>
      <c r="BE95" s="84">
        <f t="shared" si="22"/>
        <v>2170356</v>
      </c>
      <c r="BF95" s="84">
        <f t="shared" si="22"/>
        <v>25588566</v>
      </c>
      <c r="BG95" s="84">
        <f t="shared" si="22"/>
        <v>25588566</v>
      </c>
      <c r="BH95" s="84">
        <f t="shared" si="22"/>
        <v>-3214430</v>
      </c>
      <c r="BI95" s="84">
        <f t="shared" si="22"/>
        <v>15653588</v>
      </c>
      <c r="BJ95" s="84">
        <f t="shared" si="22"/>
        <v>16760100</v>
      </c>
      <c r="BK95" s="84">
        <f t="shared" si="22"/>
        <v>16760100</v>
      </c>
      <c r="BL95" s="84">
        <f t="shared" si="22"/>
        <v>479704</v>
      </c>
      <c r="BM95" s="84">
        <f t="shared" si="22"/>
        <v>2458454</v>
      </c>
      <c r="BN95" s="73">
        <f t="shared" si="19"/>
        <v>107765080.95647691</v>
      </c>
      <c r="BO95" s="73">
        <f t="shared" si="20"/>
        <v>307756956.79200542</v>
      </c>
    </row>
    <row r="96" spans="1:67" x14ac:dyDescent="0.25">
      <c r="A96" s="21" t="s">
        <v>278</v>
      </c>
      <c r="B96" s="84">
        <f t="shared" ref="B96:AG96" si="24">B107-B85-B74-B63-B41-B30-B19-B8-B52</f>
        <v>0</v>
      </c>
      <c r="C96" s="84">
        <f t="shared" si="24"/>
        <v>0</v>
      </c>
      <c r="D96" s="84">
        <f t="shared" si="24"/>
        <v>0</v>
      </c>
      <c r="E96" s="84">
        <f t="shared" si="24"/>
        <v>0</v>
      </c>
      <c r="F96" s="84">
        <f t="shared" si="24"/>
        <v>0</v>
      </c>
      <c r="G96" s="84">
        <f t="shared" si="24"/>
        <v>30548700</v>
      </c>
      <c r="H96" s="84">
        <f t="shared" si="24"/>
        <v>-4505923</v>
      </c>
      <c r="I96" s="84">
        <f t="shared" si="24"/>
        <v>20754579</v>
      </c>
      <c r="J96" s="84">
        <f t="shared" si="24"/>
        <v>0</v>
      </c>
      <c r="K96" s="84">
        <f t="shared" si="24"/>
        <v>1014344</v>
      </c>
      <c r="L96" s="84">
        <f t="shared" si="24"/>
        <v>198731</v>
      </c>
      <c r="M96" s="84">
        <f t="shared" si="24"/>
        <v>229417</v>
      </c>
      <c r="N96" s="84">
        <f t="shared" si="24"/>
        <v>0</v>
      </c>
      <c r="O96" s="84">
        <f t="shared" si="24"/>
        <v>66741573.270000003</v>
      </c>
      <c r="P96" s="84">
        <f t="shared" si="24"/>
        <v>948</v>
      </c>
      <c r="Q96" s="84">
        <f t="shared" si="24"/>
        <v>505</v>
      </c>
      <c r="R96" s="84">
        <f t="shared" si="24"/>
        <v>2310249</v>
      </c>
      <c r="S96" s="84">
        <f t="shared" si="24"/>
        <v>2227212</v>
      </c>
      <c r="T96" s="84">
        <f t="shared" si="24"/>
        <v>724872</v>
      </c>
      <c r="U96" s="84">
        <f t="shared" si="24"/>
        <v>556134</v>
      </c>
      <c r="V96" s="84">
        <f t="shared" si="24"/>
        <v>-22093381</v>
      </c>
      <c r="W96" s="84">
        <f t="shared" si="24"/>
        <v>-23223638</v>
      </c>
      <c r="X96" s="84">
        <f t="shared" si="24"/>
        <v>12698511</v>
      </c>
      <c r="Y96" s="84">
        <f t="shared" si="24"/>
        <v>32274630</v>
      </c>
      <c r="Z96" s="84">
        <f t="shared" si="24"/>
        <v>0</v>
      </c>
      <c r="AA96" s="84">
        <f t="shared" si="24"/>
        <v>5094474</v>
      </c>
      <c r="AB96" s="84">
        <f t="shared" si="24"/>
        <v>22104</v>
      </c>
      <c r="AC96" s="84">
        <f t="shared" si="24"/>
        <v>13421</v>
      </c>
      <c r="AD96" s="84">
        <f t="shared" si="24"/>
        <v>391259</v>
      </c>
      <c r="AE96" s="84">
        <f t="shared" si="24"/>
        <v>353723</v>
      </c>
      <c r="AF96" s="84">
        <f t="shared" si="24"/>
        <v>-1185876</v>
      </c>
      <c r="AG96" s="84">
        <f t="shared" si="24"/>
        <v>-1082255</v>
      </c>
      <c r="AH96" s="84">
        <f t="shared" ref="AH96:BM96" si="25">AH107-AH85-AH74-AH63-AH41-AH30-AH19-AH8-AH52</f>
        <v>0</v>
      </c>
      <c r="AI96" s="84">
        <f t="shared" si="25"/>
        <v>0</v>
      </c>
      <c r="AJ96" s="84">
        <f t="shared" si="25"/>
        <v>0</v>
      </c>
      <c r="AK96" s="84">
        <f t="shared" si="25"/>
        <v>0</v>
      </c>
      <c r="AL96" s="84">
        <f t="shared" si="25"/>
        <v>0</v>
      </c>
      <c r="AM96" s="84">
        <f t="shared" si="25"/>
        <v>11296161.484349452</v>
      </c>
      <c r="AN96" s="84">
        <f t="shared" si="25"/>
        <v>-10162</v>
      </c>
      <c r="AO96" s="84">
        <f t="shared" si="25"/>
        <v>-7614</v>
      </c>
      <c r="AP96" s="84">
        <f t="shared" si="25"/>
        <v>0</v>
      </c>
      <c r="AQ96" s="84">
        <f t="shared" si="25"/>
        <v>365918</v>
      </c>
      <c r="AR96" s="84">
        <f t="shared" si="25"/>
        <v>5479573</v>
      </c>
      <c r="AS96" s="84">
        <f t="shared" si="25"/>
        <v>4051897</v>
      </c>
      <c r="AT96" s="84">
        <f t="shared" si="25"/>
        <v>0</v>
      </c>
      <c r="AU96" s="84">
        <f t="shared" si="25"/>
        <v>0</v>
      </c>
      <c r="AV96" s="84">
        <f t="shared" si="25"/>
        <v>0</v>
      </c>
      <c r="AW96" s="84">
        <f t="shared" si="25"/>
        <v>-4646894</v>
      </c>
      <c r="AX96" s="84">
        <f t="shared" ref="AX96:AY96" si="26">AX107-AX85-AX74-AX63-AX41-AX30-AX19-AX8-AX52</f>
        <v>6329070</v>
      </c>
      <c r="AY96" s="84">
        <f t="shared" si="26"/>
        <v>5891498</v>
      </c>
      <c r="AZ96" s="84">
        <f t="shared" si="25"/>
        <v>188449</v>
      </c>
      <c r="BA96" s="84">
        <f t="shared" si="25"/>
        <v>155510</v>
      </c>
      <c r="BB96" s="84">
        <f t="shared" si="25"/>
        <v>11730305</v>
      </c>
      <c r="BC96" s="84">
        <f t="shared" si="25"/>
        <v>5613924</v>
      </c>
      <c r="BD96" s="84">
        <f t="shared" si="25"/>
        <v>2703130</v>
      </c>
      <c r="BE96" s="84">
        <f t="shared" si="25"/>
        <v>3423599</v>
      </c>
      <c r="BF96" s="84">
        <f t="shared" si="25"/>
        <v>28136722</v>
      </c>
      <c r="BG96" s="84">
        <f t="shared" si="25"/>
        <v>40171069</v>
      </c>
      <c r="BH96" s="84">
        <f t="shared" si="25"/>
        <v>0</v>
      </c>
      <c r="BI96" s="84">
        <f t="shared" si="25"/>
        <v>31681159</v>
      </c>
      <c r="BJ96" s="84">
        <f t="shared" si="25"/>
        <v>18497825</v>
      </c>
      <c r="BK96" s="84">
        <f t="shared" si="25"/>
        <v>26621788</v>
      </c>
      <c r="BL96" s="84">
        <f t="shared" si="25"/>
        <v>0</v>
      </c>
      <c r="BM96" s="84">
        <f t="shared" si="25"/>
        <v>1113818</v>
      </c>
      <c r="BN96" s="73">
        <f t="shared" si="19"/>
        <v>61616406</v>
      </c>
      <c r="BO96" s="73">
        <f t="shared" si="20"/>
        <v>261234652.75434947</v>
      </c>
    </row>
    <row r="97" spans="1:67" x14ac:dyDescent="0.25">
      <c r="A97" s="21" t="s">
        <v>281</v>
      </c>
      <c r="B97" s="84">
        <f t="shared" ref="B97:AG97" si="27">B108-B86-B75-B64-B42-B31-B20-B9-B53</f>
        <v>0</v>
      </c>
      <c r="C97" s="84">
        <f t="shared" si="27"/>
        <v>0</v>
      </c>
      <c r="D97" s="84">
        <f t="shared" si="27"/>
        <v>0</v>
      </c>
      <c r="E97" s="84">
        <f t="shared" si="27"/>
        <v>0</v>
      </c>
      <c r="F97" s="84">
        <f t="shared" si="27"/>
        <v>15825656</v>
      </c>
      <c r="G97" s="84">
        <f t="shared" si="27"/>
        <v>112814886</v>
      </c>
      <c r="H97" s="84">
        <f t="shared" si="27"/>
        <v>3484477</v>
      </c>
      <c r="I97" s="84">
        <f t="shared" si="27"/>
        <v>24432551</v>
      </c>
      <c r="J97" s="84">
        <f t="shared" si="27"/>
        <v>0</v>
      </c>
      <c r="K97" s="84">
        <f t="shared" si="27"/>
        <v>0</v>
      </c>
      <c r="L97" s="84">
        <f t="shared" si="27"/>
        <v>25207</v>
      </c>
      <c r="M97" s="84">
        <f t="shared" si="27"/>
        <v>333728</v>
      </c>
      <c r="N97" s="84">
        <f t="shared" si="27"/>
        <v>0</v>
      </c>
      <c r="O97" s="84">
        <f t="shared" si="27"/>
        <v>0</v>
      </c>
      <c r="P97" s="84">
        <f t="shared" si="27"/>
        <v>482</v>
      </c>
      <c r="Q97" s="84">
        <f t="shared" si="27"/>
        <v>930</v>
      </c>
      <c r="R97" s="84">
        <f t="shared" si="27"/>
        <v>0</v>
      </c>
      <c r="S97" s="84">
        <f t="shared" si="27"/>
        <v>0</v>
      </c>
      <c r="T97" s="84">
        <f t="shared" si="27"/>
        <v>0</v>
      </c>
      <c r="U97" s="84">
        <f t="shared" si="27"/>
        <v>0</v>
      </c>
      <c r="V97" s="84">
        <f t="shared" si="27"/>
        <v>6022003</v>
      </c>
      <c r="W97" s="84">
        <f t="shared" si="27"/>
        <v>20388945</v>
      </c>
      <c r="X97" s="84">
        <f t="shared" si="27"/>
        <v>1514947</v>
      </c>
      <c r="Y97" s="84">
        <f t="shared" si="27"/>
        <v>4498979</v>
      </c>
      <c r="Z97" s="84">
        <f t="shared" si="27"/>
        <v>1186865</v>
      </c>
      <c r="AA97" s="84">
        <f t="shared" si="27"/>
        <v>15652989</v>
      </c>
      <c r="AB97" s="84">
        <f t="shared" si="27"/>
        <v>5496</v>
      </c>
      <c r="AC97" s="84">
        <f t="shared" si="27"/>
        <v>17222</v>
      </c>
      <c r="AD97" s="84">
        <f t="shared" si="27"/>
        <v>24038</v>
      </c>
      <c r="AE97" s="84">
        <f t="shared" si="27"/>
        <v>169272</v>
      </c>
      <c r="AF97" s="84">
        <f t="shared" si="27"/>
        <v>8989</v>
      </c>
      <c r="AG97" s="84">
        <f t="shared" si="27"/>
        <v>118092</v>
      </c>
      <c r="AH97" s="84">
        <f t="shared" ref="AH97:BM97" si="28">AH108-AH86-AH75-AH64-AH42-AH31-AH20-AH9-AH53</f>
        <v>0</v>
      </c>
      <c r="AI97" s="84">
        <f t="shared" si="28"/>
        <v>1</v>
      </c>
      <c r="AJ97" s="84">
        <f t="shared" si="28"/>
        <v>-1</v>
      </c>
      <c r="AK97" s="84">
        <f t="shared" si="28"/>
        <v>1</v>
      </c>
      <c r="AL97" s="84">
        <f t="shared" si="28"/>
        <v>0</v>
      </c>
      <c r="AM97" s="84">
        <f t="shared" si="28"/>
        <v>0</v>
      </c>
      <c r="AN97" s="84">
        <f t="shared" si="28"/>
        <v>17880</v>
      </c>
      <c r="AO97" s="84">
        <f t="shared" si="28"/>
        <v>66103</v>
      </c>
      <c r="AP97" s="84">
        <f t="shared" si="28"/>
        <v>87845</v>
      </c>
      <c r="AQ97" s="84">
        <f t="shared" si="28"/>
        <v>251708</v>
      </c>
      <c r="AR97" s="84">
        <f t="shared" si="28"/>
        <v>0</v>
      </c>
      <c r="AS97" s="84">
        <f t="shared" si="28"/>
        <v>0</v>
      </c>
      <c r="AT97" s="84">
        <f t="shared" si="28"/>
        <v>0</v>
      </c>
      <c r="AU97" s="84">
        <f t="shared" si="28"/>
        <v>0</v>
      </c>
      <c r="AV97" s="84">
        <f t="shared" si="28"/>
        <v>9038</v>
      </c>
      <c r="AW97" s="84">
        <f t="shared" si="28"/>
        <v>-985969</v>
      </c>
      <c r="AX97" s="84">
        <f t="shared" ref="AX97:AY99" si="29">AX108-AX86-AX75-AX64-AX42-AX31-AX20-AX9-AX53</f>
        <v>0</v>
      </c>
      <c r="AY97" s="84">
        <f t="shared" si="29"/>
        <v>0</v>
      </c>
      <c r="AZ97" s="84">
        <f t="shared" si="28"/>
        <v>0</v>
      </c>
      <c r="BA97" s="84">
        <f t="shared" si="28"/>
        <v>0</v>
      </c>
      <c r="BB97" s="84">
        <f t="shared" si="28"/>
        <v>17822734</v>
      </c>
      <c r="BC97" s="84">
        <f t="shared" si="28"/>
        <v>56884172</v>
      </c>
      <c r="BD97" s="84">
        <f t="shared" si="28"/>
        <v>-229122</v>
      </c>
      <c r="BE97" s="84">
        <f t="shared" si="28"/>
        <v>421624</v>
      </c>
      <c r="BF97" s="84">
        <f t="shared" si="28"/>
        <v>3422226</v>
      </c>
      <c r="BG97" s="84">
        <f t="shared" si="28"/>
        <v>18709469</v>
      </c>
      <c r="BH97" s="84">
        <f t="shared" si="28"/>
        <v>1744809</v>
      </c>
      <c r="BI97" s="84">
        <f t="shared" si="28"/>
        <v>11586533</v>
      </c>
      <c r="BJ97" s="84">
        <f t="shared" si="28"/>
        <v>4752338</v>
      </c>
      <c r="BK97" s="84">
        <f t="shared" si="28"/>
        <v>14167044</v>
      </c>
      <c r="BL97" s="84">
        <f t="shared" si="28"/>
        <v>2477416</v>
      </c>
      <c r="BM97" s="84">
        <f t="shared" si="28"/>
        <v>4751467</v>
      </c>
      <c r="BN97" s="73">
        <f t="shared" si="19"/>
        <v>58203323</v>
      </c>
      <c r="BO97" s="73">
        <f t="shared" si="20"/>
        <v>284279747</v>
      </c>
    </row>
    <row r="98" spans="1:67" x14ac:dyDescent="0.25">
      <c r="A98" s="21" t="s">
        <v>276</v>
      </c>
      <c r="B98" s="84">
        <f t="shared" ref="B98:AG98" si="30">B109-B87-B76-B65-B43-B32-B21-B10-B54</f>
        <v>0</v>
      </c>
      <c r="C98" s="84">
        <f t="shared" si="30"/>
        <v>0</v>
      </c>
      <c r="D98" s="84">
        <f t="shared" si="30"/>
        <v>0</v>
      </c>
      <c r="E98" s="84">
        <f t="shared" si="30"/>
        <v>0</v>
      </c>
      <c r="F98" s="84">
        <f t="shared" si="30"/>
        <v>3413</v>
      </c>
      <c r="G98" s="84">
        <f t="shared" si="30"/>
        <v>-4657</v>
      </c>
      <c r="H98" s="84">
        <f t="shared" si="30"/>
        <v>0</v>
      </c>
      <c r="I98" s="84">
        <f t="shared" si="30"/>
        <v>3</v>
      </c>
      <c r="J98" s="84">
        <f t="shared" si="30"/>
        <v>1</v>
      </c>
      <c r="K98" s="84">
        <f t="shared" si="30"/>
        <v>0</v>
      </c>
      <c r="L98" s="84">
        <f t="shared" si="30"/>
        <v>0</v>
      </c>
      <c r="M98" s="84">
        <f t="shared" si="30"/>
        <v>1</v>
      </c>
      <c r="N98" s="84">
        <f t="shared" si="30"/>
        <v>0</v>
      </c>
      <c r="O98" s="84">
        <f t="shared" si="30"/>
        <v>0</v>
      </c>
      <c r="P98" s="84">
        <f t="shared" si="30"/>
        <v>0</v>
      </c>
      <c r="Q98" s="84">
        <f t="shared" si="30"/>
        <v>0</v>
      </c>
      <c r="R98" s="84">
        <f t="shared" si="30"/>
        <v>0</v>
      </c>
      <c r="S98" s="84">
        <f t="shared" si="30"/>
        <v>0</v>
      </c>
      <c r="T98" s="84">
        <f t="shared" si="30"/>
        <v>740919</v>
      </c>
      <c r="U98" s="84">
        <f t="shared" si="30"/>
        <v>1276802</v>
      </c>
      <c r="V98" s="84">
        <f t="shared" si="30"/>
        <v>913</v>
      </c>
      <c r="W98" s="84">
        <f t="shared" si="30"/>
        <v>914</v>
      </c>
      <c r="X98" s="84">
        <f t="shared" si="30"/>
        <v>922</v>
      </c>
      <c r="Y98" s="84">
        <f t="shared" si="30"/>
        <v>3799</v>
      </c>
      <c r="Z98" s="84">
        <f t="shared" si="30"/>
        <v>0</v>
      </c>
      <c r="AA98" s="84">
        <f t="shared" si="30"/>
        <v>0</v>
      </c>
      <c r="AB98" s="84">
        <f t="shared" si="30"/>
        <v>0</v>
      </c>
      <c r="AC98" s="84">
        <f t="shared" si="30"/>
        <v>0</v>
      </c>
      <c r="AD98" s="84">
        <f t="shared" si="30"/>
        <v>0</v>
      </c>
      <c r="AE98" s="84">
        <f t="shared" si="30"/>
        <v>0</v>
      </c>
      <c r="AF98" s="84">
        <f t="shared" si="30"/>
        <v>0</v>
      </c>
      <c r="AG98" s="84">
        <f t="shared" si="30"/>
        <v>0</v>
      </c>
      <c r="AH98" s="84">
        <f t="shared" ref="AH98:BM98" si="31">AH109-AH87-AH76-AH65-AH43-AH32-AH21-AH10-AH54</f>
        <v>0</v>
      </c>
      <c r="AI98" s="84">
        <f t="shared" si="31"/>
        <v>0</v>
      </c>
      <c r="AJ98" s="84">
        <f t="shared" si="31"/>
        <v>0</v>
      </c>
      <c r="AK98" s="84">
        <f t="shared" si="31"/>
        <v>0</v>
      </c>
      <c r="AL98" s="84">
        <f t="shared" si="31"/>
        <v>72136.511000000057</v>
      </c>
      <c r="AM98" s="84">
        <f t="shared" si="31"/>
        <v>174335.81000000017</v>
      </c>
      <c r="AN98" s="84">
        <f t="shared" si="31"/>
        <v>0</v>
      </c>
      <c r="AO98" s="84">
        <f t="shared" si="31"/>
        <v>0</v>
      </c>
      <c r="AP98" s="84">
        <f t="shared" si="31"/>
        <v>124</v>
      </c>
      <c r="AQ98" s="84">
        <f t="shared" si="31"/>
        <v>4578</v>
      </c>
      <c r="AR98" s="84">
        <f t="shared" si="31"/>
        <v>-1</v>
      </c>
      <c r="AS98" s="84">
        <f t="shared" si="31"/>
        <v>1</v>
      </c>
      <c r="AT98" s="84">
        <f t="shared" si="31"/>
        <v>0</v>
      </c>
      <c r="AU98" s="84">
        <f t="shared" si="31"/>
        <v>0</v>
      </c>
      <c r="AV98" s="84">
        <f t="shared" si="31"/>
        <v>1313</v>
      </c>
      <c r="AW98" s="84">
        <f t="shared" si="31"/>
        <v>5778</v>
      </c>
      <c r="AX98" s="84">
        <f t="shared" si="29"/>
        <v>0</v>
      </c>
      <c r="AY98" s="84">
        <f t="shared" si="29"/>
        <v>0</v>
      </c>
      <c r="AZ98" s="84">
        <f t="shared" si="31"/>
        <v>0</v>
      </c>
      <c r="BA98" s="84">
        <f t="shared" si="31"/>
        <v>0</v>
      </c>
      <c r="BB98" s="84">
        <f t="shared" si="31"/>
        <v>0</v>
      </c>
      <c r="BC98" s="84">
        <f t="shared" si="31"/>
        <v>0</v>
      </c>
      <c r="BD98" s="84">
        <f t="shared" si="31"/>
        <v>0</v>
      </c>
      <c r="BE98" s="84">
        <f t="shared" si="31"/>
        <v>1</v>
      </c>
      <c r="BF98" s="84">
        <f t="shared" si="31"/>
        <v>52610</v>
      </c>
      <c r="BG98" s="84">
        <f t="shared" si="31"/>
        <v>108753</v>
      </c>
      <c r="BH98" s="84">
        <f t="shared" si="31"/>
        <v>51006</v>
      </c>
      <c r="BI98" s="84">
        <f t="shared" si="31"/>
        <v>-16090</v>
      </c>
      <c r="BJ98" s="84">
        <f t="shared" si="31"/>
        <v>45468</v>
      </c>
      <c r="BK98" s="84">
        <f t="shared" si="31"/>
        <v>-45052</v>
      </c>
      <c r="BL98" s="84">
        <f t="shared" si="31"/>
        <v>0</v>
      </c>
      <c r="BM98" s="84">
        <f t="shared" si="31"/>
        <v>0</v>
      </c>
      <c r="BN98" s="73">
        <f t="shared" si="19"/>
        <v>968824.51100000006</v>
      </c>
      <c r="BO98" s="73">
        <f t="shared" si="20"/>
        <v>1509166.81</v>
      </c>
    </row>
    <row r="99" spans="1:67" x14ac:dyDescent="0.25">
      <c r="A99" s="21" t="s">
        <v>277</v>
      </c>
      <c r="B99" s="84">
        <f t="shared" ref="B99:AG99" si="32">B110-B88-B77-B66-B44-B33-B22-B11-B55</f>
        <v>0</v>
      </c>
      <c r="C99" s="84">
        <f t="shared" si="32"/>
        <v>0</v>
      </c>
      <c r="D99" s="84">
        <f t="shared" si="32"/>
        <v>0</v>
      </c>
      <c r="E99" s="84">
        <f t="shared" si="32"/>
        <v>0</v>
      </c>
      <c r="F99" s="84">
        <f t="shared" si="32"/>
        <v>3414690</v>
      </c>
      <c r="G99" s="84">
        <f t="shared" si="32"/>
        <v>49842554</v>
      </c>
      <c r="H99" s="84">
        <f t="shared" si="32"/>
        <v>2946716</v>
      </c>
      <c r="I99" s="84">
        <f t="shared" si="32"/>
        <v>19460373</v>
      </c>
      <c r="J99" s="84">
        <f t="shared" si="32"/>
        <v>506593</v>
      </c>
      <c r="K99" s="84">
        <f t="shared" si="32"/>
        <v>1180290</v>
      </c>
      <c r="L99" s="84">
        <f t="shared" si="32"/>
        <v>25390</v>
      </c>
      <c r="M99" s="84">
        <f t="shared" si="32"/>
        <v>264823</v>
      </c>
      <c r="N99" s="84">
        <f t="shared" si="32"/>
        <v>394982.52</v>
      </c>
      <c r="O99" s="84">
        <f t="shared" si="32"/>
        <v>827394.32</v>
      </c>
      <c r="P99" s="84">
        <f t="shared" si="32"/>
        <v>358</v>
      </c>
      <c r="Q99" s="84">
        <f t="shared" si="32"/>
        <v>531</v>
      </c>
      <c r="R99" s="84">
        <f t="shared" si="32"/>
        <v>1947158</v>
      </c>
      <c r="S99" s="84">
        <f t="shared" si="32"/>
        <v>4729030</v>
      </c>
      <c r="T99" s="84">
        <f t="shared" si="32"/>
        <v>375335</v>
      </c>
      <c r="U99" s="84">
        <f t="shared" si="32"/>
        <v>620271</v>
      </c>
      <c r="V99" s="84">
        <f t="shared" si="32"/>
        <v>-1308988</v>
      </c>
      <c r="W99" s="84">
        <f t="shared" si="32"/>
        <v>-13299993</v>
      </c>
      <c r="X99" s="84">
        <f t="shared" si="32"/>
        <v>331446</v>
      </c>
      <c r="Y99" s="84">
        <f t="shared" si="32"/>
        <v>16523688</v>
      </c>
      <c r="Z99" s="84">
        <f t="shared" si="32"/>
        <v>1195316</v>
      </c>
      <c r="AA99" s="84">
        <f t="shared" si="32"/>
        <v>12732040</v>
      </c>
      <c r="AB99" s="84">
        <f t="shared" si="32"/>
        <v>1285</v>
      </c>
      <c r="AC99" s="84">
        <f t="shared" si="32"/>
        <v>2547</v>
      </c>
      <c r="AD99" s="84">
        <f t="shared" si="32"/>
        <v>17467</v>
      </c>
      <c r="AE99" s="84">
        <f t="shared" si="32"/>
        <v>50354</v>
      </c>
      <c r="AF99" s="84">
        <f t="shared" si="32"/>
        <v>-8935</v>
      </c>
      <c r="AG99" s="84">
        <f t="shared" si="32"/>
        <v>-11602</v>
      </c>
      <c r="AH99" s="84">
        <f t="shared" ref="AH99:BM99" si="33">AH110-AH88-AH77-AH66-AH44-AH33-AH22-AH11-AH55</f>
        <v>0</v>
      </c>
      <c r="AI99" s="84">
        <f t="shared" si="33"/>
        <v>0</v>
      </c>
      <c r="AJ99" s="84">
        <f t="shared" si="33"/>
        <v>0</v>
      </c>
      <c r="AK99" s="84">
        <f t="shared" si="33"/>
        <v>0</v>
      </c>
      <c r="AL99" s="84">
        <f t="shared" si="33"/>
        <v>6161771.1301064966</v>
      </c>
      <c r="AM99" s="84">
        <f t="shared" si="33"/>
        <v>14736112.024999995</v>
      </c>
      <c r="AN99" s="84">
        <f t="shared" si="33"/>
        <v>-631</v>
      </c>
      <c r="AO99" s="84">
        <f t="shared" si="33"/>
        <v>-2915</v>
      </c>
      <c r="AP99" s="84">
        <f t="shared" si="33"/>
        <v>11858</v>
      </c>
      <c r="AQ99" s="84">
        <f t="shared" si="33"/>
        <v>43072</v>
      </c>
      <c r="AR99" s="84">
        <f t="shared" si="33"/>
        <v>3450079</v>
      </c>
      <c r="AS99" s="84">
        <f t="shared" si="33"/>
        <v>11149433</v>
      </c>
      <c r="AT99" s="84">
        <f t="shared" si="33"/>
        <v>0</v>
      </c>
      <c r="AU99" s="84">
        <f t="shared" si="33"/>
        <v>0</v>
      </c>
      <c r="AV99" s="84">
        <f t="shared" si="33"/>
        <v>1063</v>
      </c>
      <c r="AW99" s="84">
        <f t="shared" si="33"/>
        <v>-1540261</v>
      </c>
      <c r="AX99" s="84">
        <f t="shared" si="29"/>
        <v>5780205</v>
      </c>
      <c r="AY99" s="84">
        <f t="shared" si="29"/>
        <v>16325256</v>
      </c>
      <c r="AZ99" s="84">
        <f t="shared" si="33"/>
        <v>4254</v>
      </c>
      <c r="BA99" s="84">
        <f t="shared" si="33"/>
        <v>7382</v>
      </c>
      <c r="BB99" s="84">
        <f t="shared" si="33"/>
        <v>3919227</v>
      </c>
      <c r="BC99" s="84">
        <f t="shared" si="33"/>
        <v>13189624</v>
      </c>
      <c r="BD99" s="84">
        <f>BD110-BD88-BD77-BD66-BD44-BD33-BD22-BD11-BD55</f>
        <v>712443</v>
      </c>
      <c r="BE99" s="84">
        <f t="shared" si="33"/>
        <v>1448608</v>
      </c>
      <c r="BF99" s="84">
        <f t="shared" si="33"/>
        <v>2149571</v>
      </c>
      <c r="BG99" s="84">
        <f t="shared" si="33"/>
        <v>20144127</v>
      </c>
      <c r="BH99" s="84">
        <f t="shared" si="33"/>
        <v>116407</v>
      </c>
      <c r="BI99" s="84">
        <f t="shared" si="33"/>
        <v>2009124</v>
      </c>
      <c r="BJ99" s="84">
        <f t="shared" si="33"/>
        <v>2370057</v>
      </c>
      <c r="BK99" s="84">
        <f t="shared" si="33"/>
        <v>5346190</v>
      </c>
      <c r="BL99" s="84">
        <f t="shared" si="33"/>
        <v>1535089</v>
      </c>
      <c r="BM99" s="84">
        <f t="shared" si="33"/>
        <v>2590116</v>
      </c>
      <c r="BN99" s="73">
        <f t="shared" si="19"/>
        <v>36050206.650106497</v>
      </c>
      <c r="BO99" s="73">
        <f t="shared" si="20"/>
        <v>178368168.34499997</v>
      </c>
    </row>
    <row r="100" spans="1:67" x14ac:dyDescent="0.25">
      <c r="A100" s="21" t="s">
        <v>273</v>
      </c>
      <c r="B100" s="84">
        <f>B111-B89-B78-B67-B56-B45-B34-B23-B12</f>
        <v>62</v>
      </c>
      <c r="C100" s="84">
        <f t="shared" ref="C100:AG100" si="34">C111-C89-C78-C67-C56-C45-C34-C23-C12</f>
        <v>62</v>
      </c>
      <c r="D100" s="84">
        <f t="shared" si="34"/>
        <v>0</v>
      </c>
      <c r="E100" s="84">
        <f t="shared" si="34"/>
        <v>0</v>
      </c>
      <c r="F100" s="84">
        <f t="shared" si="34"/>
        <v>12414380</v>
      </c>
      <c r="G100" s="84">
        <f t="shared" si="34"/>
        <v>62967676</v>
      </c>
      <c r="H100" s="84">
        <f t="shared" si="34"/>
        <v>207145</v>
      </c>
      <c r="I100" s="84">
        <f t="shared" si="34"/>
        <v>4641565</v>
      </c>
      <c r="J100" s="84">
        <f t="shared" si="34"/>
        <v>-385303</v>
      </c>
      <c r="K100" s="84">
        <f t="shared" si="34"/>
        <v>586694</v>
      </c>
      <c r="L100" s="84">
        <f t="shared" si="34"/>
        <v>-183</v>
      </c>
      <c r="M100" s="84">
        <f t="shared" si="34"/>
        <v>68906</v>
      </c>
      <c r="N100" s="84">
        <f t="shared" si="34"/>
        <v>2082534.95</v>
      </c>
      <c r="O100" s="84">
        <f t="shared" si="34"/>
        <v>8845205.4900000002</v>
      </c>
      <c r="P100" s="84">
        <f t="shared" si="34"/>
        <v>124</v>
      </c>
      <c r="Q100" s="84">
        <f t="shared" si="34"/>
        <v>399</v>
      </c>
      <c r="R100" s="84">
        <f t="shared" si="34"/>
        <v>382776</v>
      </c>
      <c r="S100" s="84">
        <f t="shared" si="34"/>
        <v>1673792</v>
      </c>
      <c r="T100" s="84">
        <f t="shared" si="34"/>
        <v>121079</v>
      </c>
      <c r="U100" s="84">
        <f t="shared" si="34"/>
        <v>700165</v>
      </c>
      <c r="V100" s="84">
        <f t="shared" si="34"/>
        <v>1437313</v>
      </c>
      <c r="W100" s="84">
        <f t="shared" si="34"/>
        <v>4969701</v>
      </c>
      <c r="X100" s="84">
        <f t="shared" si="34"/>
        <v>647163</v>
      </c>
      <c r="Y100" s="84">
        <f t="shared" si="34"/>
        <v>1942374</v>
      </c>
      <c r="Z100" s="84">
        <f t="shared" si="34"/>
        <v>-8451</v>
      </c>
      <c r="AA100" s="84">
        <f t="shared" si="34"/>
        <v>2920949</v>
      </c>
      <c r="AB100" s="84">
        <f t="shared" si="34"/>
        <v>4211</v>
      </c>
      <c r="AC100" s="84">
        <f t="shared" si="34"/>
        <v>14675</v>
      </c>
      <c r="AD100" s="84">
        <f t="shared" si="34"/>
        <v>10912</v>
      </c>
      <c r="AE100" s="84">
        <f t="shared" si="34"/>
        <v>142992</v>
      </c>
      <c r="AF100" s="84">
        <f t="shared" si="34"/>
        <v>375</v>
      </c>
      <c r="AG100" s="84">
        <f t="shared" si="34"/>
        <v>107780</v>
      </c>
      <c r="AH100" s="84">
        <f t="shared" ref="AH100:BM100" si="35">AH111-AH89-AH78-AH67-AH56-AH45-AH34-AH23-AH12</f>
        <v>0</v>
      </c>
      <c r="AI100" s="84">
        <f t="shared" si="35"/>
        <v>0</v>
      </c>
      <c r="AJ100" s="84">
        <f t="shared" si="35"/>
        <v>0</v>
      </c>
      <c r="AK100" s="84">
        <f t="shared" si="35"/>
        <v>1</v>
      </c>
      <c r="AL100" s="84">
        <f t="shared" si="35"/>
        <v>1168514.8463704223</v>
      </c>
      <c r="AM100" s="84">
        <f t="shared" si="35"/>
        <v>10620588.199655849</v>
      </c>
      <c r="AN100" s="84">
        <f t="shared" si="35"/>
        <v>16985</v>
      </c>
      <c r="AO100" s="84">
        <f t="shared" si="35"/>
        <v>62798</v>
      </c>
      <c r="AP100" s="84">
        <f t="shared" si="35"/>
        <v>76108</v>
      </c>
      <c r="AQ100" s="84">
        <f t="shared" si="35"/>
        <v>213216</v>
      </c>
      <c r="AR100" s="84">
        <f t="shared" si="35"/>
        <v>1053743</v>
      </c>
      <c r="AS100" s="84">
        <f t="shared" si="35"/>
        <v>5211514</v>
      </c>
      <c r="AT100" s="84">
        <f t="shared" si="35"/>
        <v>0</v>
      </c>
      <c r="AU100" s="84">
        <f t="shared" si="35"/>
        <v>0</v>
      </c>
      <c r="AV100" s="84"/>
      <c r="AW100" s="84"/>
      <c r="AX100" s="84">
        <f>AX111-AX89-AX78-AX67-AX56-AX45-AX34-AX23-AX12</f>
        <v>1130177</v>
      </c>
      <c r="AY100" s="84">
        <f>AY111-AY89-AY78-AY67-AY56-AY45-AY34-AY23-AY12</f>
        <v>5085960</v>
      </c>
      <c r="AZ100" s="84">
        <f t="shared" si="35"/>
        <v>-31450</v>
      </c>
      <c r="BA100" s="84">
        <f t="shared" si="35"/>
        <v>9263</v>
      </c>
      <c r="BB100" s="84">
        <f t="shared" si="35"/>
        <v>13903507</v>
      </c>
      <c r="BC100" s="84">
        <f t="shared" si="35"/>
        <v>43694549</v>
      </c>
      <c r="BD100" s="84">
        <f>BD111-BD89-BD78-BD67-BD56-BD45-BD34-BD23-BD12</f>
        <v>-941565</v>
      </c>
      <c r="BE100" s="84">
        <f t="shared" si="35"/>
        <v>-1026983</v>
      </c>
      <c r="BF100" s="84">
        <f t="shared" si="35"/>
        <v>4468448</v>
      </c>
      <c r="BG100" s="84">
        <f t="shared" si="35"/>
        <v>17483855</v>
      </c>
      <c r="BH100" s="84">
        <f t="shared" si="35"/>
        <v>1679408</v>
      </c>
      <c r="BI100" s="84">
        <f t="shared" si="35"/>
        <v>9561319</v>
      </c>
      <c r="BJ100" s="84">
        <f t="shared" si="35"/>
        <v>2427749</v>
      </c>
      <c r="BK100" s="84">
        <f t="shared" si="35"/>
        <v>8775802</v>
      </c>
      <c r="BL100" s="84">
        <f t="shared" si="35"/>
        <v>942327</v>
      </c>
      <c r="BM100" s="84">
        <f t="shared" si="35"/>
        <v>2161351</v>
      </c>
      <c r="BN100" s="73">
        <f t="shared" si="19"/>
        <v>42808089.796370417</v>
      </c>
      <c r="BO100" s="73">
        <f t="shared" si="20"/>
        <v>191436168.68965584</v>
      </c>
    </row>
    <row r="101" spans="1:67" x14ac:dyDescent="0.25">
      <c r="A101" s="13"/>
    </row>
    <row r="102" spans="1:67" x14ac:dyDescent="0.25">
      <c r="A102" s="28" t="s">
        <v>42</v>
      </c>
    </row>
    <row r="103" spans="1:67" x14ac:dyDescent="0.25">
      <c r="A103" s="3" t="s">
        <v>0</v>
      </c>
      <c r="B103" s="119" t="s">
        <v>1</v>
      </c>
      <c r="C103" s="120"/>
      <c r="D103" s="119" t="s">
        <v>282</v>
      </c>
      <c r="E103" s="120"/>
      <c r="F103" s="119" t="s">
        <v>2</v>
      </c>
      <c r="G103" s="120"/>
      <c r="H103" s="119" t="s">
        <v>3</v>
      </c>
      <c r="I103" s="120"/>
      <c r="J103" s="119" t="s">
        <v>4</v>
      </c>
      <c r="K103" s="120"/>
      <c r="L103" s="119" t="s">
        <v>283</v>
      </c>
      <c r="M103" s="120"/>
      <c r="N103" s="119" t="s">
        <v>6</v>
      </c>
      <c r="O103" s="120"/>
      <c r="P103" s="119" t="s">
        <v>5</v>
      </c>
      <c r="Q103" s="120"/>
      <c r="R103" s="119" t="s">
        <v>7</v>
      </c>
      <c r="S103" s="120"/>
      <c r="T103" s="119" t="s">
        <v>284</v>
      </c>
      <c r="U103" s="120"/>
      <c r="V103" s="119" t="s">
        <v>8</v>
      </c>
      <c r="W103" s="120"/>
      <c r="X103" s="119" t="s">
        <v>9</v>
      </c>
      <c r="Y103" s="120"/>
      <c r="Z103" s="119" t="s">
        <v>10</v>
      </c>
      <c r="AA103" s="120"/>
      <c r="AB103" s="119" t="s">
        <v>293</v>
      </c>
      <c r="AC103" s="120"/>
      <c r="AD103" s="119" t="s">
        <v>11</v>
      </c>
      <c r="AE103" s="120"/>
      <c r="AF103" s="119" t="s">
        <v>12</v>
      </c>
      <c r="AG103" s="120"/>
      <c r="AH103" s="119" t="s">
        <v>285</v>
      </c>
      <c r="AI103" s="120"/>
      <c r="AJ103" s="119" t="s">
        <v>290</v>
      </c>
      <c r="AK103" s="120"/>
      <c r="AL103" s="119" t="s">
        <v>13</v>
      </c>
      <c r="AM103" s="120"/>
      <c r="AN103" s="119" t="s">
        <v>286</v>
      </c>
      <c r="AO103" s="120"/>
      <c r="AP103" s="119" t="s">
        <v>287</v>
      </c>
      <c r="AQ103" s="120"/>
      <c r="AR103" s="119" t="s">
        <v>291</v>
      </c>
      <c r="AS103" s="120"/>
      <c r="AT103" s="119" t="s">
        <v>294</v>
      </c>
      <c r="AU103" s="120"/>
      <c r="AV103" s="119" t="s">
        <v>14</v>
      </c>
      <c r="AW103" s="120"/>
      <c r="AX103" s="119" t="s">
        <v>15</v>
      </c>
      <c r="AY103" s="120"/>
      <c r="AZ103" s="119" t="s">
        <v>16</v>
      </c>
      <c r="BA103" s="120"/>
      <c r="BB103" s="119" t="s">
        <v>17</v>
      </c>
      <c r="BC103" s="120"/>
      <c r="BD103" s="119" t="s">
        <v>18</v>
      </c>
      <c r="BE103" s="120"/>
      <c r="BF103" s="119" t="s">
        <v>288</v>
      </c>
      <c r="BG103" s="120"/>
      <c r="BH103" s="119" t="s">
        <v>289</v>
      </c>
      <c r="BI103" s="120"/>
      <c r="BJ103" s="119" t="s">
        <v>19</v>
      </c>
      <c r="BK103" s="120"/>
      <c r="BL103" s="119" t="s">
        <v>20</v>
      </c>
      <c r="BM103" s="120"/>
      <c r="BN103" s="121" t="s">
        <v>21</v>
      </c>
      <c r="BO103" s="122"/>
    </row>
    <row r="104" spans="1:67" ht="30" x14ac:dyDescent="0.25">
      <c r="A104" s="3"/>
      <c r="B104" s="57" t="s">
        <v>296</v>
      </c>
      <c r="C104" s="58" t="s">
        <v>297</v>
      </c>
      <c r="D104" s="57" t="s">
        <v>296</v>
      </c>
      <c r="E104" s="58" t="s">
        <v>297</v>
      </c>
      <c r="F104" s="57" t="s">
        <v>296</v>
      </c>
      <c r="G104" s="58" t="s">
        <v>297</v>
      </c>
      <c r="H104" s="57" t="s">
        <v>296</v>
      </c>
      <c r="I104" s="58" t="s">
        <v>297</v>
      </c>
      <c r="J104" s="57" t="s">
        <v>296</v>
      </c>
      <c r="K104" s="58" t="s">
        <v>297</v>
      </c>
      <c r="L104" s="57" t="s">
        <v>296</v>
      </c>
      <c r="M104" s="58" t="s">
        <v>297</v>
      </c>
      <c r="N104" s="57" t="s">
        <v>296</v>
      </c>
      <c r="O104" s="58" t="s">
        <v>297</v>
      </c>
      <c r="P104" s="57" t="s">
        <v>296</v>
      </c>
      <c r="Q104" s="58" t="s">
        <v>297</v>
      </c>
      <c r="R104" s="57" t="s">
        <v>296</v>
      </c>
      <c r="S104" s="58" t="s">
        <v>297</v>
      </c>
      <c r="T104" s="57" t="s">
        <v>296</v>
      </c>
      <c r="U104" s="58" t="s">
        <v>297</v>
      </c>
      <c r="V104" s="57" t="s">
        <v>296</v>
      </c>
      <c r="W104" s="58" t="s">
        <v>297</v>
      </c>
      <c r="X104" s="57" t="s">
        <v>296</v>
      </c>
      <c r="Y104" s="58" t="s">
        <v>297</v>
      </c>
      <c r="Z104" s="57" t="s">
        <v>296</v>
      </c>
      <c r="AA104" s="58" t="s">
        <v>297</v>
      </c>
      <c r="AB104" s="57" t="s">
        <v>296</v>
      </c>
      <c r="AC104" s="58" t="s">
        <v>297</v>
      </c>
      <c r="AD104" s="57" t="s">
        <v>296</v>
      </c>
      <c r="AE104" s="58" t="s">
        <v>297</v>
      </c>
      <c r="AF104" s="57" t="s">
        <v>296</v>
      </c>
      <c r="AG104" s="58" t="s">
        <v>297</v>
      </c>
      <c r="AH104" s="57" t="s">
        <v>296</v>
      </c>
      <c r="AI104" s="58" t="s">
        <v>297</v>
      </c>
      <c r="AJ104" s="57" t="s">
        <v>296</v>
      </c>
      <c r="AK104" s="58" t="s">
        <v>297</v>
      </c>
      <c r="AL104" s="57" t="s">
        <v>296</v>
      </c>
      <c r="AM104" s="58" t="s">
        <v>297</v>
      </c>
      <c r="AN104" s="57" t="s">
        <v>296</v>
      </c>
      <c r="AO104" s="58" t="s">
        <v>297</v>
      </c>
      <c r="AP104" s="57" t="s">
        <v>296</v>
      </c>
      <c r="AQ104" s="58" t="s">
        <v>297</v>
      </c>
      <c r="AR104" s="57" t="s">
        <v>296</v>
      </c>
      <c r="AS104" s="58" t="s">
        <v>297</v>
      </c>
      <c r="AT104" s="57" t="s">
        <v>296</v>
      </c>
      <c r="AU104" s="58" t="s">
        <v>297</v>
      </c>
      <c r="AV104" s="57" t="s">
        <v>296</v>
      </c>
      <c r="AW104" s="58" t="s">
        <v>297</v>
      </c>
      <c r="AX104" s="57" t="s">
        <v>296</v>
      </c>
      <c r="AY104" s="58" t="s">
        <v>297</v>
      </c>
      <c r="AZ104" s="57" t="s">
        <v>296</v>
      </c>
      <c r="BA104" s="58" t="s">
        <v>297</v>
      </c>
      <c r="BB104" s="57" t="s">
        <v>296</v>
      </c>
      <c r="BC104" s="58" t="s">
        <v>297</v>
      </c>
      <c r="BD104" s="57" t="s">
        <v>296</v>
      </c>
      <c r="BE104" s="58" t="s">
        <v>297</v>
      </c>
      <c r="BF104" s="57" t="s">
        <v>296</v>
      </c>
      <c r="BG104" s="58" t="s">
        <v>297</v>
      </c>
      <c r="BH104" s="57" t="s">
        <v>296</v>
      </c>
      <c r="BI104" s="58" t="s">
        <v>297</v>
      </c>
      <c r="BJ104" s="57" t="s">
        <v>296</v>
      </c>
      <c r="BK104" s="58" t="s">
        <v>297</v>
      </c>
      <c r="BL104" s="57" t="s">
        <v>296</v>
      </c>
      <c r="BM104" s="58" t="s">
        <v>297</v>
      </c>
      <c r="BN104" s="57" t="s">
        <v>296</v>
      </c>
      <c r="BO104" s="58" t="s">
        <v>297</v>
      </c>
    </row>
    <row r="105" spans="1:67" x14ac:dyDescent="0.25">
      <c r="A105" s="21" t="s">
        <v>228</v>
      </c>
      <c r="B105" s="84">
        <v>648415</v>
      </c>
      <c r="C105" s="84">
        <v>1614302</v>
      </c>
      <c r="D105" s="84">
        <v>1668000</v>
      </c>
      <c r="E105" s="84">
        <v>4273224</v>
      </c>
      <c r="F105" s="103">
        <v>13248726</v>
      </c>
      <c r="G105" s="103">
        <v>84884836</v>
      </c>
      <c r="H105" s="84">
        <v>15882066</v>
      </c>
      <c r="I105" s="84">
        <v>60628019</v>
      </c>
      <c r="J105" s="84">
        <v>4026828</v>
      </c>
      <c r="K105" s="84">
        <v>11413217</v>
      </c>
      <c r="L105" s="84">
        <v>5381565</v>
      </c>
      <c r="M105" s="84">
        <v>16010851</v>
      </c>
      <c r="N105" s="103">
        <v>3858025.69</v>
      </c>
      <c r="O105" s="103">
        <v>10467405.689999999</v>
      </c>
      <c r="P105" s="84">
        <v>444703</v>
      </c>
      <c r="Q105" s="84">
        <v>1205581</v>
      </c>
      <c r="R105" s="84">
        <v>6119000</v>
      </c>
      <c r="S105" s="84">
        <v>17002067</v>
      </c>
      <c r="T105" s="84">
        <v>1729093</v>
      </c>
      <c r="U105" s="84">
        <v>4314009</v>
      </c>
      <c r="V105" s="84">
        <v>16346849</v>
      </c>
      <c r="W105" s="84">
        <v>61959870</v>
      </c>
      <c r="X105" s="84">
        <v>20504468</v>
      </c>
      <c r="Y105" s="84">
        <v>83909165</v>
      </c>
      <c r="Z105" s="84">
        <v>13747246</v>
      </c>
      <c r="AA105" s="84">
        <v>53046981</v>
      </c>
      <c r="AB105" s="84">
        <v>570016</v>
      </c>
      <c r="AC105" s="84">
        <v>1689464</v>
      </c>
      <c r="AD105" s="84">
        <v>1847291</v>
      </c>
      <c r="AE105" s="84">
        <v>6307111</v>
      </c>
      <c r="AF105" s="84">
        <v>1197876</v>
      </c>
      <c r="AG105" s="84">
        <v>2847183</v>
      </c>
      <c r="AH105" s="103">
        <v>1283313</v>
      </c>
      <c r="AI105" s="103">
        <v>3753110</v>
      </c>
      <c r="AJ105" s="84">
        <v>2835549</v>
      </c>
      <c r="AK105" s="84">
        <v>6466920</v>
      </c>
      <c r="AL105" s="84">
        <v>42352041.588000007</v>
      </c>
      <c r="AM105" s="84">
        <v>112728637.44299999</v>
      </c>
      <c r="AN105" s="84">
        <v>75263</v>
      </c>
      <c r="AO105" s="84">
        <v>295939</v>
      </c>
      <c r="AP105" s="84">
        <v>361822</v>
      </c>
      <c r="AQ105" s="84">
        <v>663105</v>
      </c>
      <c r="AR105" s="84">
        <v>12778947</v>
      </c>
      <c r="AS105" s="84">
        <v>40271678</v>
      </c>
      <c r="AT105" s="84">
        <v>4521060</v>
      </c>
      <c r="AU105" s="84">
        <v>10974373</v>
      </c>
      <c r="AV105" s="84">
        <v>4558382</v>
      </c>
      <c r="AW105" s="84">
        <v>15577221</v>
      </c>
      <c r="AX105" s="84">
        <v>14777993</v>
      </c>
      <c r="AY105" s="84">
        <v>40431107</v>
      </c>
      <c r="AZ105" s="84">
        <v>2495943</v>
      </c>
      <c r="BA105" s="84">
        <v>7506877</v>
      </c>
      <c r="BB105" s="84">
        <v>20462136</v>
      </c>
      <c r="BC105" s="84">
        <v>53407194</v>
      </c>
      <c r="BD105" s="103">
        <v>10856136</v>
      </c>
      <c r="BE105" s="103">
        <v>29334708</v>
      </c>
      <c r="BF105" s="84">
        <v>67660351</v>
      </c>
      <c r="BG105" s="84">
        <v>214322943</v>
      </c>
      <c r="BH105" s="103">
        <v>36776237</v>
      </c>
      <c r="BI105" s="103">
        <v>114601361</v>
      </c>
      <c r="BJ105" s="103">
        <v>42658966</v>
      </c>
      <c r="BK105" s="103">
        <v>128910388</v>
      </c>
      <c r="BL105" s="103">
        <v>4911108</v>
      </c>
      <c r="BM105" s="103">
        <v>11074334</v>
      </c>
      <c r="BN105" s="73">
        <f t="shared" ref="BN105:BN109" si="36">SUM(B105+D105+F105+H105+J105+L105+N105+P105+R105+T105+V105+X105+Z105+AB105+AD105+AF105+AH105+AJ105+AL105+AN105+AP105+AR105+AT105+AV105+AX105+AZ105+BB105+BD105+BF105+BH105+BJ105+BL105)</f>
        <v>376585415.278</v>
      </c>
      <c r="BO105" s="73">
        <f t="shared" ref="BO105:BO111" si="37">SUM(C105+E105+G105+I105+K105+M105+O105+Q105+S105+U105+W105+Y105+AA105+AC105+AE105+AG105+AI105+AK105+AM105+AO105+AQ105+AS105+AU105+AW105+AY105+BA105+BC105+BE105+BG105+BI105+BK105+BM105)</f>
        <v>1211893181.1329999</v>
      </c>
    </row>
    <row r="106" spans="1:67" x14ac:dyDescent="0.25">
      <c r="A106" s="21" t="s">
        <v>279</v>
      </c>
      <c r="B106" s="84">
        <v>1135447</v>
      </c>
      <c r="C106" s="84">
        <v>1135447</v>
      </c>
      <c r="D106" s="84">
        <v>1621526</v>
      </c>
      <c r="E106" s="84">
        <v>1621526</v>
      </c>
      <c r="F106" s="103">
        <v>8234393</v>
      </c>
      <c r="G106" s="103">
        <v>70911812</v>
      </c>
      <c r="H106" s="84">
        <v>-1260823</v>
      </c>
      <c r="I106" s="84">
        <v>136503757</v>
      </c>
      <c r="J106" s="84">
        <v>-496685</v>
      </c>
      <c r="K106" s="84">
        <v>26675837</v>
      </c>
      <c r="L106" s="84">
        <v>64630145</v>
      </c>
      <c r="M106" s="84">
        <v>64630145</v>
      </c>
      <c r="N106" s="84">
        <v>-304502.59999999998</v>
      </c>
      <c r="O106" s="103">
        <v>68853346.290000007</v>
      </c>
      <c r="P106" s="84">
        <v>650504</v>
      </c>
      <c r="Q106" s="84">
        <v>650504</v>
      </c>
      <c r="R106" s="84">
        <v>26091792</v>
      </c>
      <c r="S106" s="84">
        <v>26091792</v>
      </c>
      <c r="T106" s="84">
        <v>21494144</v>
      </c>
      <c r="U106" s="84">
        <v>21494144</v>
      </c>
      <c r="V106" s="84">
        <v>110647756</v>
      </c>
      <c r="W106" s="84">
        <v>110647756</v>
      </c>
      <c r="X106" s="84">
        <v>182845028</v>
      </c>
      <c r="Y106" s="84">
        <v>182845027</v>
      </c>
      <c r="Z106" s="84">
        <v>1347256</v>
      </c>
      <c r="AA106" s="84">
        <v>63477096</v>
      </c>
      <c r="AB106" s="84">
        <v>3601237</v>
      </c>
      <c r="AC106" s="84">
        <v>3601237</v>
      </c>
      <c r="AD106" s="84">
        <v>12854146</v>
      </c>
      <c r="AE106" s="84">
        <v>12854146</v>
      </c>
      <c r="AF106" s="84">
        <v>23015838</v>
      </c>
      <c r="AG106" s="84">
        <v>23015838</v>
      </c>
      <c r="AH106" s="103">
        <v>969650</v>
      </c>
      <c r="AI106" s="103">
        <v>969651</v>
      </c>
      <c r="AJ106" s="84">
        <v>2888622</v>
      </c>
      <c r="AK106" s="84">
        <v>2888622</v>
      </c>
      <c r="AL106" s="84">
        <v>336176.33937273361</v>
      </c>
      <c r="AM106" s="84">
        <v>198419943.05766672</v>
      </c>
      <c r="AN106" s="84">
        <v>1175035</v>
      </c>
      <c r="AO106" s="84">
        <v>1175035</v>
      </c>
      <c r="AP106" s="84">
        <v>158533</v>
      </c>
      <c r="AQ106" s="84">
        <v>3199544</v>
      </c>
      <c r="AR106" s="84">
        <v>65157234</v>
      </c>
      <c r="AS106" s="84">
        <v>65157234</v>
      </c>
      <c r="AT106" s="84">
        <v>3838808</v>
      </c>
      <c r="AU106" s="84">
        <v>3838808</v>
      </c>
      <c r="AV106" s="84"/>
      <c r="AW106" s="84">
        <v>45554332</v>
      </c>
      <c r="AX106" s="84">
        <v>34705690</v>
      </c>
      <c r="AY106" s="84">
        <v>34705690</v>
      </c>
      <c r="AZ106" s="84">
        <v>72808565</v>
      </c>
      <c r="BA106" s="84">
        <v>72808566</v>
      </c>
      <c r="BB106" s="84">
        <v>9090902</v>
      </c>
      <c r="BC106" s="84">
        <v>9090902</v>
      </c>
      <c r="BD106" s="103">
        <v>68899247</v>
      </c>
      <c r="BE106" s="103">
        <v>68899247</v>
      </c>
      <c r="BF106" s="84">
        <v>357124437</v>
      </c>
      <c r="BG106" s="84">
        <v>357124437</v>
      </c>
      <c r="BH106" s="103">
        <v>-4030725</v>
      </c>
      <c r="BI106" s="103">
        <v>193532458</v>
      </c>
      <c r="BJ106" s="103">
        <v>283460277</v>
      </c>
      <c r="BK106" s="103">
        <v>283460277</v>
      </c>
      <c r="BL106" s="103">
        <v>397207</v>
      </c>
      <c r="BM106" s="103">
        <v>17329521</v>
      </c>
      <c r="BN106" s="73">
        <f t="shared" si="36"/>
        <v>1353086859.7393727</v>
      </c>
      <c r="BO106" s="73">
        <f t="shared" si="37"/>
        <v>2173163677.3476667</v>
      </c>
    </row>
    <row r="107" spans="1:67" x14ac:dyDescent="0.25">
      <c r="A107" s="21" t="s">
        <v>278</v>
      </c>
      <c r="B107" s="84">
        <v>1080149</v>
      </c>
      <c r="C107" s="84">
        <v>664303</v>
      </c>
      <c r="D107" s="84">
        <v>1414486</v>
      </c>
      <c r="E107" s="84">
        <v>799265</v>
      </c>
      <c r="F107" s="84"/>
      <c r="G107" s="103">
        <v>30548700</v>
      </c>
      <c r="H107" s="84">
        <v>-4355673</v>
      </c>
      <c r="I107" s="84">
        <v>117812763</v>
      </c>
      <c r="J107" s="84"/>
      <c r="K107" s="84">
        <v>23851111</v>
      </c>
      <c r="L107" s="84">
        <v>62767963</v>
      </c>
      <c r="M107" s="84">
        <v>53480085</v>
      </c>
      <c r="N107" s="84"/>
      <c r="O107" s="103">
        <v>66741573.270000003</v>
      </c>
      <c r="P107" s="84">
        <v>608600</v>
      </c>
      <c r="Q107" s="84">
        <v>822665</v>
      </c>
      <c r="R107" s="84">
        <v>26053525</v>
      </c>
      <c r="S107" s="84">
        <v>21831254</v>
      </c>
      <c r="T107" s="84">
        <v>16999451</v>
      </c>
      <c r="U107" s="84">
        <v>9567803</v>
      </c>
      <c r="V107" s="84">
        <v>-106450588</v>
      </c>
      <c r="W107" s="84">
        <v>-87162908</v>
      </c>
      <c r="X107" s="84">
        <v>185223155</v>
      </c>
      <c r="Y107" s="84">
        <v>180073743</v>
      </c>
      <c r="Z107" s="84"/>
      <c r="AA107" s="84">
        <v>53183426</v>
      </c>
      <c r="AB107" s="84">
        <v>3346344</v>
      </c>
      <c r="AC107" s="84">
        <v>2388665</v>
      </c>
      <c r="AD107" s="84">
        <v>12417898</v>
      </c>
      <c r="AE107" s="84">
        <v>10562318</v>
      </c>
      <c r="AF107" s="84">
        <v>-22680800</v>
      </c>
      <c r="AG107" s="84">
        <v>-17972535</v>
      </c>
      <c r="AH107" s="103">
        <v>928315</v>
      </c>
      <c r="AI107" s="103">
        <v>675384</v>
      </c>
      <c r="AJ107" s="84">
        <v>3381256</v>
      </c>
      <c r="AK107" s="84">
        <v>1252365</v>
      </c>
      <c r="AL107" s="84"/>
      <c r="AM107" s="84">
        <v>178732748.37199995</v>
      </c>
      <c r="AN107" s="84">
        <v>-1118109</v>
      </c>
      <c r="AO107" s="84">
        <v>-854041</v>
      </c>
      <c r="AP107" s="84">
        <v>0</v>
      </c>
      <c r="AQ107" s="84">
        <v>2195368</v>
      </c>
      <c r="AR107" s="84">
        <v>65197180</v>
      </c>
      <c r="AS107" s="84">
        <v>56841198</v>
      </c>
      <c r="AT107" s="84">
        <v>4801451</v>
      </c>
      <c r="AU107" s="84">
        <v>2625521</v>
      </c>
      <c r="AV107" s="84"/>
      <c r="AW107" s="84">
        <v>-42341818</v>
      </c>
      <c r="AX107" s="84">
        <v>35750428</v>
      </c>
      <c r="AY107" s="84">
        <v>29693796</v>
      </c>
      <c r="AZ107" s="84">
        <v>71356403</v>
      </c>
      <c r="BA107" s="84">
        <v>62731538</v>
      </c>
      <c r="BB107" s="84">
        <v>11730305</v>
      </c>
      <c r="BC107" s="84">
        <v>5613924</v>
      </c>
      <c r="BD107" s="103">
        <v>66730638</v>
      </c>
      <c r="BE107" s="103">
        <v>53564450</v>
      </c>
      <c r="BF107" s="84">
        <v>351913947</v>
      </c>
      <c r="BG107" s="84">
        <v>329819744</v>
      </c>
      <c r="BH107" s="103">
        <v>0</v>
      </c>
      <c r="BI107" s="103">
        <v>190513482</v>
      </c>
      <c r="BJ107" s="103">
        <v>286059891</v>
      </c>
      <c r="BK107" s="103">
        <v>265684702</v>
      </c>
      <c r="BL107" s="103"/>
      <c r="BM107" s="103">
        <v>12084521</v>
      </c>
      <c r="BN107" s="73">
        <f t="shared" si="36"/>
        <v>1073156215</v>
      </c>
      <c r="BO107" s="73">
        <f t="shared" si="37"/>
        <v>1616025113.642</v>
      </c>
    </row>
    <row r="108" spans="1:67" x14ac:dyDescent="0.25">
      <c r="A108" s="21" t="s">
        <v>281</v>
      </c>
      <c r="B108" s="84"/>
      <c r="C108" s="84"/>
      <c r="D108" s="84"/>
      <c r="E108" s="84"/>
      <c r="F108" s="103">
        <v>15825656</v>
      </c>
      <c r="G108" s="103">
        <v>112814886</v>
      </c>
      <c r="H108" s="84">
        <v>18650156</v>
      </c>
      <c r="I108" s="84">
        <v>79319013</v>
      </c>
      <c r="J108" s="84"/>
      <c r="K108" s="84"/>
      <c r="L108" s="84">
        <v>7243747</v>
      </c>
      <c r="M108" s="84">
        <v>27160911</v>
      </c>
      <c r="N108" s="84"/>
      <c r="O108" s="84"/>
      <c r="P108" s="84">
        <v>486607</v>
      </c>
      <c r="Q108" s="84">
        <v>1033420</v>
      </c>
      <c r="R108" s="84"/>
      <c r="S108" s="84"/>
      <c r="T108" s="84"/>
      <c r="U108" s="84"/>
      <c r="V108" s="84">
        <v>20544016</v>
      </c>
      <c r="W108" s="84">
        <v>85444718</v>
      </c>
      <c r="X108" s="84">
        <v>18126341</v>
      </c>
      <c r="Y108" s="84">
        <v>86680449</v>
      </c>
      <c r="Z108" s="84">
        <v>15094502</v>
      </c>
      <c r="AA108" s="84">
        <v>63340651</v>
      </c>
      <c r="AB108" s="84">
        <v>824909</v>
      </c>
      <c r="AC108" s="84">
        <v>2902036</v>
      </c>
      <c r="AD108" s="84">
        <v>2283539</v>
      </c>
      <c r="AE108" s="84">
        <v>8598939</v>
      </c>
      <c r="AF108" s="84">
        <v>1532914</v>
      </c>
      <c r="AG108" s="84">
        <v>7890486</v>
      </c>
      <c r="AH108" s="103">
        <v>1324648</v>
      </c>
      <c r="AI108" s="103">
        <v>4047377</v>
      </c>
      <c r="AJ108" s="84">
        <v>2342915</v>
      </c>
      <c r="AK108" s="84">
        <v>8103177</v>
      </c>
      <c r="AL108" s="84"/>
      <c r="AM108" s="84"/>
      <c r="AN108" s="84">
        <v>132189</v>
      </c>
      <c r="AO108" s="84">
        <v>616932</v>
      </c>
      <c r="AP108" s="84">
        <v>520354</v>
      </c>
      <c r="AQ108" s="84">
        <v>1667281</v>
      </c>
      <c r="AR108" s="84"/>
      <c r="AS108" s="84"/>
      <c r="AT108" s="84">
        <v>3558417</v>
      </c>
      <c r="AU108" s="84">
        <v>12187660</v>
      </c>
      <c r="AV108" s="84">
        <v>4558382</v>
      </c>
      <c r="AW108" s="84">
        <v>18789735</v>
      </c>
      <c r="AX108" s="84"/>
      <c r="AY108" s="84"/>
      <c r="AZ108" s="84"/>
      <c r="BA108" s="84"/>
      <c r="BB108" s="84">
        <v>17822734</v>
      </c>
      <c r="BC108" s="84">
        <v>56884172</v>
      </c>
      <c r="BD108" s="103">
        <v>13024745</v>
      </c>
      <c r="BE108" s="103">
        <v>44669505</v>
      </c>
      <c r="BF108" s="84">
        <v>72870841</v>
      </c>
      <c r="BG108" s="84">
        <v>241627636</v>
      </c>
      <c r="BH108" s="103">
        <v>32745512</v>
      </c>
      <c r="BI108" s="103">
        <v>117620337</v>
      </c>
      <c r="BJ108" s="103">
        <v>40059352</v>
      </c>
      <c r="BK108" s="103">
        <v>146685963</v>
      </c>
      <c r="BL108" s="103">
        <v>5308315</v>
      </c>
      <c r="BM108" s="103">
        <v>16319334</v>
      </c>
      <c r="BN108" s="73">
        <f t="shared" si="36"/>
        <v>294880791</v>
      </c>
      <c r="BO108" s="73">
        <f t="shared" si="37"/>
        <v>1144404618</v>
      </c>
    </row>
    <row r="109" spans="1:67" x14ac:dyDescent="0.25">
      <c r="A109" s="21" t="s">
        <v>276</v>
      </c>
      <c r="B109" s="84"/>
      <c r="C109" s="84"/>
      <c r="D109" s="84"/>
      <c r="E109" s="84"/>
      <c r="F109" s="103">
        <v>3413</v>
      </c>
      <c r="G109" s="103">
        <v>-4657</v>
      </c>
      <c r="H109" s="84">
        <v>20894</v>
      </c>
      <c r="I109" s="84">
        <v>193757</v>
      </c>
      <c r="J109" s="84">
        <v>21095</v>
      </c>
      <c r="K109" s="84">
        <v>175288</v>
      </c>
      <c r="L109" s="84">
        <v>71</v>
      </c>
      <c r="M109" s="84">
        <v>879</v>
      </c>
      <c r="N109" s="84"/>
      <c r="O109" s="84"/>
      <c r="P109" s="84">
        <v>11669</v>
      </c>
      <c r="Q109" s="84">
        <v>79896</v>
      </c>
      <c r="R109" s="84">
        <v>39074</v>
      </c>
      <c r="S109" s="84">
        <v>213103</v>
      </c>
      <c r="T109" s="84">
        <v>996812</v>
      </c>
      <c r="U109" s="84">
        <v>1855540</v>
      </c>
      <c r="V109" s="84">
        <v>159830</v>
      </c>
      <c r="W109" s="84">
        <v>363108</v>
      </c>
      <c r="X109" s="84">
        <v>325466</v>
      </c>
      <c r="Y109" s="84">
        <v>1527611</v>
      </c>
      <c r="Z109" s="84">
        <v>14433</v>
      </c>
      <c r="AA109" s="84">
        <v>241550</v>
      </c>
      <c r="AB109" s="84">
        <v>99</v>
      </c>
      <c r="AC109" s="84">
        <v>305</v>
      </c>
      <c r="AD109" s="84">
        <v>38</v>
      </c>
      <c r="AE109" s="84">
        <v>468</v>
      </c>
      <c r="AF109" s="84">
        <v>42035</v>
      </c>
      <c r="AG109" s="84">
        <v>240514</v>
      </c>
      <c r="AH109" s="103"/>
      <c r="AI109" s="103"/>
      <c r="AJ109" s="84"/>
      <c r="AK109" s="84"/>
      <c r="AL109" s="84">
        <v>1160489.9609999999</v>
      </c>
      <c r="AM109" s="84">
        <v>2292639.773</v>
      </c>
      <c r="AN109" s="84">
        <v>4</v>
      </c>
      <c r="AO109" s="84">
        <v>45</v>
      </c>
      <c r="AP109" s="84">
        <v>349</v>
      </c>
      <c r="AQ109" s="84">
        <v>5257</v>
      </c>
      <c r="AR109" s="84">
        <v>18728</v>
      </c>
      <c r="AS109" s="84">
        <v>188502</v>
      </c>
      <c r="AT109" s="84">
        <v>62854</v>
      </c>
      <c r="AU109" s="84">
        <v>230922</v>
      </c>
      <c r="AV109" s="84">
        <v>30076</v>
      </c>
      <c r="AW109" s="84">
        <v>142001</v>
      </c>
      <c r="AX109" s="84">
        <v>28</v>
      </c>
      <c r="AY109" s="84">
        <v>690120</v>
      </c>
      <c r="AZ109" s="84">
        <v>37</v>
      </c>
      <c r="BA109" s="84">
        <v>512</v>
      </c>
      <c r="BB109" s="84"/>
      <c r="BC109" s="84"/>
      <c r="BD109" s="103">
        <v>177798</v>
      </c>
      <c r="BE109" s="103">
        <v>780236</v>
      </c>
      <c r="BF109" s="84">
        <v>2500275</v>
      </c>
      <c r="BG109" s="84">
        <v>12152461</v>
      </c>
      <c r="BH109" s="103">
        <v>966702</v>
      </c>
      <c r="BI109" s="103">
        <v>2823727</v>
      </c>
      <c r="BJ109" s="103">
        <v>271646</v>
      </c>
      <c r="BK109" s="103">
        <v>427502</v>
      </c>
      <c r="BL109" s="103">
        <v>18</v>
      </c>
      <c r="BM109" s="103">
        <v>225</v>
      </c>
      <c r="BN109" s="73">
        <f t="shared" si="36"/>
        <v>6823933.9610000001</v>
      </c>
      <c r="BO109" s="73">
        <f t="shared" si="37"/>
        <v>24621511.773000002</v>
      </c>
    </row>
    <row r="110" spans="1:67" x14ac:dyDescent="0.25">
      <c r="A110" s="21" t="s">
        <v>277</v>
      </c>
      <c r="B110" s="84">
        <v>219587</v>
      </c>
      <c r="C110" s="84">
        <v>659787</v>
      </c>
      <c r="D110" s="84">
        <v>307257</v>
      </c>
      <c r="E110" s="84">
        <v>859808</v>
      </c>
      <c r="F110" s="103">
        <v>3414690</v>
      </c>
      <c r="G110" s="103">
        <v>49842554</v>
      </c>
      <c r="H110" s="84">
        <v>5266709</v>
      </c>
      <c r="I110" s="84">
        <v>26741248</v>
      </c>
      <c r="J110" s="84">
        <v>1199628</v>
      </c>
      <c r="K110" s="84">
        <v>2817834</v>
      </c>
      <c r="L110" s="84">
        <v>1348009</v>
      </c>
      <c r="M110" s="84">
        <v>3963513</v>
      </c>
      <c r="N110" s="103">
        <v>394982.52</v>
      </c>
      <c r="O110" s="103">
        <v>827394.32</v>
      </c>
      <c r="P110" s="84">
        <v>77674</v>
      </c>
      <c r="Q110" s="84">
        <v>-544298</v>
      </c>
      <c r="R110" s="84">
        <v>2674438</v>
      </c>
      <c r="S110" s="84">
        <v>6987729</v>
      </c>
      <c r="T110" s="84">
        <v>2752393</v>
      </c>
      <c r="U110" s="84">
        <v>3706247</v>
      </c>
      <c r="V110" s="84">
        <v>-5088330</v>
      </c>
      <c r="W110" s="84">
        <v>-27291495</v>
      </c>
      <c r="X110" s="84">
        <v>4174777</v>
      </c>
      <c r="Y110" s="84">
        <v>30120318</v>
      </c>
      <c r="Z110" s="84">
        <v>3909935</v>
      </c>
      <c r="AA110" s="84">
        <v>21892589</v>
      </c>
      <c r="AB110" s="84">
        <v>48919</v>
      </c>
      <c r="AC110" s="84">
        <v>294285</v>
      </c>
      <c r="AD110" s="84">
        <v>168812</v>
      </c>
      <c r="AE110" s="84">
        <v>634481</v>
      </c>
      <c r="AF110" s="84">
        <v>-568477</v>
      </c>
      <c r="AG110" s="84">
        <v>-1645070</v>
      </c>
      <c r="AH110" s="103">
        <v>64301</v>
      </c>
      <c r="AI110" s="103">
        <v>187830</v>
      </c>
      <c r="AJ110" s="84">
        <v>454474</v>
      </c>
      <c r="AK110" s="84">
        <v>1647626</v>
      </c>
      <c r="AL110" s="84">
        <v>16587114.392056497</v>
      </c>
      <c r="AM110" s="84">
        <v>37769376.754000001</v>
      </c>
      <c r="AN110" s="84">
        <v>-7284</v>
      </c>
      <c r="AO110" s="84">
        <v>-27919</v>
      </c>
      <c r="AP110" s="84">
        <v>34229</v>
      </c>
      <c r="AQ110" s="84">
        <v>81607</v>
      </c>
      <c r="AR110" s="84">
        <v>5772500</v>
      </c>
      <c r="AS110" s="84">
        <v>19641961</v>
      </c>
      <c r="AT110" s="84">
        <v>1212965</v>
      </c>
      <c r="AU110" s="84">
        <v>2880419</v>
      </c>
      <c r="AV110" s="84">
        <v>-1093455</v>
      </c>
      <c r="AW110" s="84">
        <v>-5045438</v>
      </c>
      <c r="AX110" s="84">
        <v>7270344</v>
      </c>
      <c r="AY110" s="84">
        <v>20265681</v>
      </c>
      <c r="AZ110" s="84">
        <v>220657</v>
      </c>
      <c r="BA110" s="84">
        <v>762094</v>
      </c>
      <c r="BB110" s="84">
        <v>3919227</v>
      </c>
      <c r="BC110" s="84">
        <v>13189624</v>
      </c>
      <c r="BD110" s="103">
        <v>4351580</v>
      </c>
      <c r="BE110" s="103">
        <v>11558764</v>
      </c>
      <c r="BF110" s="84">
        <v>11178759</v>
      </c>
      <c r="BG110" s="84">
        <v>45724691</v>
      </c>
      <c r="BH110" s="103">
        <v>3876827</v>
      </c>
      <c r="BI110" s="103">
        <v>15227122</v>
      </c>
      <c r="BJ110" s="103">
        <v>6327211</v>
      </c>
      <c r="BK110" s="103">
        <v>24092340</v>
      </c>
      <c r="BL110" s="103">
        <v>2800283</v>
      </c>
      <c r="BM110" s="103">
        <v>4460167</v>
      </c>
      <c r="BN110" s="73">
        <f>SUM(B110+D110+F110+H110+J110+L110+N110+P110+R110+T110+V110+X110+Z110+AB110+AD110+AF110+AH110+AJ110+AL110+AN110+AP110+AR110+AT110+AV110+AX110+AZ110+BB110+BD110+BF110+BH110+BJ110+BL110)</f>
        <v>83270735.912056506</v>
      </c>
      <c r="BO110" s="73">
        <f t="shared" si="37"/>
        <v>312282870.074</v>
      </c>
    </row>
    <row r="111" spans="1:67" x14ac:dyDescent="0.25">
      <c r="A111" s="21" t="s">
        <v>273</v>
      </c>
      <c r="B111" s="84">
        <v>484126</v>
      </c>
      <c r="C111" s="84">
        <v>1425659</v>
      </c>
      <c r="D111" s="84">
        <v>1567783</v>
      </c>
      <c r="E111" s="84">
        <v>4235677</v>
      </c>
      <c r="F111" s="103">
        <v>12414380</v>
      </c>
      <c r="G111" s="103">
        <v>62967676</v>
      </c>
      <c r="H111" s="84">
        <v>11535110</v>
      </c>
      <c r="I111" s="84">
        <v>50902291</v>
      </c>
      <c r="J111" s="84">
        <v>2351607</v>
      </c>
      <c r="K111" s="84">
        <v>11595397</v>
      </c>
      <c r="L111" s="84">
        <v>5895809</v>
      </c>
      <c r="M111" s="84">
        <v>23198277</v>
      </c>
      <c r="N111" s="103">
        <v>2082534.95</v>
      </c>
      <c r="O111" s="103">
        <v>8845205.4900000002</v>
      </c>
      <c r="P111" s="84">
        <v>420602</v>
      </c>
      <c r="Q111" s="84">
        <v>1657614</v>
      </c>
      <c r="R111" s="84">
        <v>3521902</v>
      </c>
      <c r="S111" s="84">
        <v>14487979</v>
      </c>
      <c r="T111" s="84">
        <v>4468205</v>
      </c>
      <c r="U111" s="84">
        <v>14389643</v>
      </c>
      <c r="V111" s="84">
        <v>11926710</v>
      </c>
      <c r="W111" s="84">
        <v>48520486</v>
      </c>
      <c r="X111" s="84">
        <v>18749148</v>
      </c>
      <c r="Y111" s="84">
        <v>68708133</v>
      </c>
      <c r="Z111" s="84">
        <v>11199000</v>
      </c>
      <c r="AA111" s="84">
        <v>41689612</v>
      </c>
      <c r="AB111" s="84">
        <v>776089</v>
      </c>
      <c r="AC111" s="84">
        <v>2608056</v>
      </c>
      <c r="AD111" s="84">
        <v>2035800</v>
      </c>
      <c r="AE111" s="84">
        <v>7863791</v>
      </c>
      <c r="AF111" s="84">
        <v>1498652</v>
      </c>
      <c r="AG111" s="84">
        <v>6066042</v>
      </c>
      <c r="AH111" s="103">
        <v>1260347</v>
      </c>
      <c r="AI111" s="103">
        <v>3859547</v>
      </c>
      <c r="AJ111" s="84">
        <v>1888441</v>
      </c>
      <c r="AK111" s="84">
        <v>6455551</v>
      </c>
      <c r="AL111" s="84">
        <v>27261593.491316248</v>
      </c>
      <c r="AM111" s="84">
        <v>96939095.147666723</v>
      </c>
      <c r="AN111" s="84">
        <v>118699</v>
      </c>
      <c r="AO111" s="84">
        <v>563078</v>
      </c>
      <c r="AP111" s="84">
        <v>486474</v>
      </c>
      <c r="AQ111" s="84">
        <v>1590932</v>
      </c>
      <c r="AR111" s="84">
        <v>6985229</v>
      </c>
      <c r="AS111" s="84">
        <v>29134255</v>
      </c>
      <c r="AT111" s="84">
        <v>2408306</v>
      </c>
      <c r="AU111" s="84">
        <v>9538163</v>
      </c>
      <c r="AV111" s="84">
        <v>4588169</v>
      </c>
      <c r="AW111" s="84">
        <v>17006412</v>
      </c>
      <c r="AX111" s="84">
        <v>6462939</v>
      </c>
      <c r="AY111" s="84">
        <v>25867440</v>
      </c>
      <c r="AZ111" s="84">
        <v>3727485</v>
      </c>
      <c r="BA111" s="84">
        <v>16822323</v>
      </c>
      <c r="BB111" s="84">
        <v>13903507</v>
      </c>
      <c r="BC111" s="84">
        <v>43694549</v>
      </c>
      <c r="BD111" s="103">
        <v>8850963</v>
      </c>
      <c r="BE111" s="103">
        <v>33890977</v>
      </c>
      <c r="BF111" s="84">
        <v>67937581</v>
      </c>
      <c r="BG111" s="84">
        <v>220869593</v>
      </c>
      <c r="BH111" s="103">
        <v>29835387</v>
      </c>
      <c r="BI111" s="103">
        <v>105216942</v>
      </c>
      <c r="BJ111" s="103">
        <v>34003787</v>
      </c>
      <c r="BK111" s="103">
        <v>123021125</v>
      </c>
      <c r="BL111" s="103">
        <v>2508050</v>
      </c>
      <c r="BM111" s="103">
        <v>11859392</v>
      </c>
      <c r="BN111" s="73">
        <f>SUM(B111+D111+F111+H111+J111+L111+N111+P111+R111+T111+V111+X111+Z111+AB111+AD111+AF111+AH111+AJ111+AL111+AN111+AP111+AR111+AT111+AV111+AX111+AZ111+BB111+BD111+BF111+BH111+BJ111+BL111)</f>
        <v>303154415.44131625</v>
      </c>
      <c r="BO111" s="73">
        <f t="shared" si="37"/>
        <v>1115490912.6376667</v>
      </c>
    </row>
  </sheetData>
  <mergeCells count="330">
    <mergeCell ref="J4:K4"/>
    <mergeCell ref="L4:M4"/>
    <mergeCell ref="AT4:AU4"/>
    <mergeCell ref="X4:Y4"/>
    <mergeCell ref="Z4:AA4"/>
    <mergeCell ref="AB4:AC4"/>
    <mergeCell ref="AD4:AE4"/>
    <mergeCell ref="AF4:AG4"/>
    <mergeCell ref="AH4:AI4"/>
    <mergeCell ref="N4:O4"/>
    <mergeCell ref="P4:Q4"/>
    <mergeCell ref="R4:S4"/>
    <mergeCell ref="T4:U4"/>
    <mergeCell ref="V4:W4"/>
    <mergeCell ref="BH4:BI4"/>
    <mergeCell ref="BJ4:BK4"/>
    <mergeCell ref="BL4:BM4"/>
    <mergeCell ref="BN4:BO4"/>
    <mergeCell ref="B15:C15"/>
    <mergeCell ref="D15:E15"/>
    <mergeCell ref="F15:G15"/>
    <mergeCell ref="H15:I15"/>
    <mergeCell ref="J15:K15"/>
    <mergeCell ref="AV4:AW4"/>
    <mergeCell ref="AX4:AY4"/>
    <mergeCell ref="AZ4:BA4"/>
    <mergeCell ref="BB4:BC4"/>
    <mergeCell ref="BD4:BE4"/>
    <mergeCell ref="BF4:BG4"/>
    <mergeCell ref="AJ4:AK4"/>
    <mergeCell ref="AL4:AM4"/>
    <mergeCell ref="AN4:AO4"/>
    <mergeCell ref="AP4:AQ4"/>
    <mergeCell ref="AR4:AS4"/>
    <mergeCell ref="B4:C4"/>
    <mergeCell ref="D4:E4"/>
    <mergeCell ref="F4:G4"/>
    <mergeCell ref="H4:I4"/>
    <mergeCell ref="BL15:BM15"/>
    <mergeCell ref="BN15:BO15"/>
    <mergeCell ref="AT15:AU15"/>
    <mergeCell ref="AV15:AW15"/>
    <mergeCell ref="AX15:AY15"/>
    <mergeCell ref="AZ15:BA15"/>
    <mergeCell ref="BB15:BC15"/>
    <mergeCell ref="BD15:BE15"/>
    <mergeCell ref="R15:S15"/>
    <mergeCell ref="T15:U15"/>
    <mergeCell ref="V15:W15"/>
    <mergeCell ref="B26:C26"/>
    <mergeCell ref="D26:E26"/>
    <mergeCell ref="F26:G26"/>
    <mergeCell ref="H26:I26"/>
    <mergeCell ref="J26:K26"/>
    <mergeCell ref="L26:M26"/>
    <mergeCell ref="BF15:BG15"/>
    <mergeCell ref="BH15:BI15"/>
    <mergeCell ref="BJ15:BK15"/>
    <mergeCell ref="AH15:AI15"/>
    <mergeCell ref="AJ15:AK15"/>
    <mergeCell ref="AL15:AM15"/>
    <mergeCell ref="AN15:AO15"/>
    <mergeCell ref="AP15:AQ15"/>
    <mergeCell ref="AR15:AS15"/>
    <mergeCell ref="X15:Y15"/>
    <mergeCell ref="Z15:AA15"/>
    <mergeCell ref="AB15:AC15"/>
    <mergeCell ref="AD15:AE15"/>
    <mergeCell ref="AF15:AG15"/>
    <mergeCell ref="L15:M15"/>
    <mergeCell ref="N15:O15"/>
    <mergeCell ref="P15:Q15"/>
    <mergeCell ref="AD26:AE26"/>
    <mergeCell ref="AF26:AG26"/>
    <mergeCell ref="AH26:AI26"/>
    <mergeCell ref="N26:O26"/>
    <mergeCell ref="P26:Q26"/>
    <mergeCell ref="R26:S26"/>
    <mergeCell ref="T26:U26"/>
    <mergeCell ref="V26:W26"/>
    <mergeCell ref="BH26:BI26"/>
    <mergeCell ref="BJ26:BK26"/>
    <mergeCell ref="BL26:BM26"/>
    <mergeCell ref="BN26:BO26"/>
    <mergeCell ref="B37:C37"/>
    <mergeCell ref="D37:E37"/>
    <mergeCell ref="F37:G37"/>
    <mergeCell ref="H37:I37"/>
    <mergeCell ref="J37:K37"/>
    <mergeCell ref="AV26:AW26"/>
    <mergeCell ref="AX26:AY26"/>
    <mergeCell ref="AZ26:BA26"/>
    <mergeCell ref="BB26:BC26"/>
    <mergeCell ref="BD26:BE26"/>
    <mergeCell ref="BF26:BG26"/>
    <mergeCell ref="AJ26:AK26"/>
    <mergeCell ref="AL26:AM26"/>
    <mergeCell ref="AN26:AO26"/>
    <mergeCell ref="AP26:AQ26"/>
    <mergeCell ref="AR26:AS26"/>
    <mergeCell ref="AT26:AU26"/>
    <mergeCell ref="X26:Y26"/>
    <mergeCell ref="Z26:AA26"/>
    <mergeCell ref="AB26:AC26"/>
    <mergeCell ref="BL37:BM37"/>
    <mergeCell ref="BN37:BO37"/>
    <mergeCell ref="AT37:AU37"/>
    <mergeCell ref="AV37:AW37"/>
    <mergeCell ref="AX37:AY37"/>
    <mergeCell ref="AZ37:BA37"/>
    <mergeCell ref="BB37:BC37"/>
    <mergeCell ref="BD37:BE37"/>
    <mergeCell ref="R37:S37"/>
    <mergeCell ref="T37:U37"/>
    <mergeCell ref="V37:W37"/>
    <mergeCell ref="B48:C48"/>
    <mergeCell ref="D48:E48"/>
    <mergeCell ref="F48:G48"/>
    <mergeCell ref="H48:I48"/>
    <mergeCell ref="J48:K48"/>
    <mergeCell ref="L48:M48"/>
    <mergeCell ref="BF37:BG37"/>
    <mergeCell ref="BH37:BI37"/>
    <mergeCell ref="BJ37:BK37"/>
    <mergeCell ref="AH37:AI37"/>
    <mergeCell ref="AJ37:AK37"/>
    <mergeCell ref="AL37:AM37"/>
    <mergeCell ref="AN37:AO37"/>
    <mergeCell ref="AP37:AQ37"/>
    <mergeCell ref="AR37:AS37"/>
    <mergeCell ref="X37:Y37"/>
    <mergeCell ref="Z37:AA37"/>
    <mergeCell ref="AB37:AC37"/>
    <mergeCell ref="AD37:AE37"/>
    <mergeCell ref="AF37:AG37"/>
    <mergeCell ref="L37:M37"/>
    <mergeCell ref="N37:O37"/>
    <mergeCell ref="P37:Q37"/>
    <mergeCell ref="AD48:AE48"/>
    <mergeCell ref="AF48:AG48"/>
    <mergeCell ref="AH48:AI48"/>
    <mergeCell ref="N48:O48"/>
    <mergeCell ref="P48:Q48"/>
    <mergeCell ref="R48:S48"/>
    <mergeCell ref="T48:U48"/>
    <mergeCell ref="V48:W48"/>
    <mergeCell ref="BH48:BI48"/>
    <mergeCell ref="BJ48:BK48"/>
    <mergeCell ref="BL48:BM48"/>
    <mergeCell ref="BN48:BO48"/>
    <mergeCell ref="B59:C59"/>
    <mergeCell ref="D59:E59"/>
    <mergeCell ref="F59:G59"/>
    <mergeCell ref="H59:I59"/>
    <mergeCell ref="J59:K59"/>
    <mergeCell ref="AV48:AW48"/>
    <mergeCell ref="AX48:AY48"/>
    <mergeCell ref="AZ48:BA48"/>
    <mergeCell ref="BB48:BC48"/>
    <mergeCell ref="BD48:BE48"/>
    <mergeCell ref="BF48:BG48"/>
    <mergeCell ref="AJ48:AK48"/>
    <mergeCell ref="AL48:AM48"/>
    <mergeCell ref="AN48:AO48"/>
    <mergeCell ref="AP48:AQ48"/>
    <mergeCell ref="AR48:AS48"/>
    <mergeCell ref="AT48:AU48"/>
    <mergeCell ref="X48:Y48"/>
    <mergeCell ref="Z48:AA48"/>
    <mergeCell ref="AB48:AC48"/>
    <mergeCell ref="BL59:BM59"/>
    <mergeCell ref="BN59:BO59"/>
    <mergeCell ref="AT59:AU59"/>
    <mergeCell ref="AV59:AW59"/>
    <mergeCell ref="AX59:AY59"/>
    <mergeCell ref="AZ59:BA59"/>
    <mergeCell ref="BB59:BC59"/>
    <mergeCell ref="BD59:BE59"/>
    <mergeCell ref="R59:S59"/>
    <mergeCell ref="T59:U59"/>
    <mergeCell ref="V59:W59"/>
    <mergeCell ref="B70:C70"/>
    <mergeCell ref="D70:E70"/>
    <mergeCell ref="F70:G70"/>
    <mergeCell ref="H70:I70"/>
    <mergeCell ref="J70:K70"/>
    <mergeCell ref="L70:M70"/>
    <mergeCell ref="BF59:BG59"/>
    <mergeCell ref="BH59:BI59"/>
    <mergeCell ref="BJ59:BK59"/>
    <mergeCell ref="AH59:AI59"/>
    <mergeCell ref="AJ59:AK59"/>
    <mergeCell ref="AL59:AM59"/>
    <mergeCell ref="AN59:AO59"/>
    <mergeCell ref="AP59:AQ59"/>
    <mergeCell ref="AR59:AS59"/>
    <mergeCell ref="X59:Y59"/>
    <mergeCell ref="Z59:AA59"/>
    <mergeCell ref="AB59:AC59"/>
    <mergeCell ref="AD59:AE59"/>
    <mergeCell ref="AF59:AG59"/>
    <mergeCell ref="L59:M59"/>
    <mergeCell ref="N59:O59"/>
    <mergeCell ref="P59:Q59"/>
    <mergeCell ref="AD70:AE70"/>
    <mergeCell ref="B81:C81"/>
    <mergeCell ref="D81:E81"/>
    <mergeCell ref="F81:G81"/>
    <mergeCell ref="H81:I81"/>
    <mergeCell ref="J81:K81"/>
    <mergeCell ref="AV70:AW70"/>
    <mergeCell ref="AX70:AY70"/>
    <mergeCell ref="AZ70:BA70"/>
    <mergeCell ref="BB70:BC70"/>
    <mergeCell ref="AJ70:AK70"/>
    <mergeCell ref="AL70:AM70"/>
    <mergeCell ref="AN70:AO70"/>
    <mergeCell ref="AP70:AQ70"/>
    <mergeCell ref="AR70:AS70"/>
    <mergeCell ref="AT70:AU70"/>
    <mergeCell ref="X70:Y70"/>
    <mergeCell ref="Z70:AA70"/>
    <mergeCell ref="AB70:AC70"/>
    <mergeCell ref="AF70:AG70"/>
    <mergeCell ref="AH70:AI70"/>
    <mergeCell ref="N70:O70"/>
    <mergeCell ref="P70:Q70"/>
    <mergeCell ref="R70:S70"/>
    <mergeCell ref="T70:U70"/>
    <mergeCell ref="AX81:AY81"/>
    <mergeCell ref="AZ81:BA81"/>
    <mergeCell ref="BB81:BC81"/>
    <mergeCell ref="BD81:BE81"/>
    <mergeCell ref="R81:S81"/>
    <mergeCell ref="T81:U81"/>
    <mergeCell ref="V81:W81"/>
    <mergeCell ref="BL70:BM70"/>
    <mergeCell ref="BN70:BO70"/>
    <mergeCell ref="BD70:BE70"/>
    <mergeCell ref="BF70:BG70"/>
    <mergeCell ref="BL81:BM81"/>
    <mergeCell ref="BN81:BO81"/>
    <mergeCell ref="V70:W70"/>
    <mergeCell ref="BH70:BI70"/>
    <mergeCell ref="BJ70:BK70"/>
    <mergeCell ref="D92:E92"/>
    <mergeCell ref="F92:G92"/>
    <mergeCell ref="H92:I92"/>
    <mergeCell ref="J92:K92"/>
    <mergeCell ref="L92:M92"/>
    <mergeCell ref="BF81:BG81"/>
    <mergeCell ref="BH81:BI81"/>
    <mergeCell ref="BJ81:BK81"/>
    <mergeCell ref="AH81:AI81"/>
    <mergeCell ref="AJ81:AK81"/>
    <mergeCell ref="AL81:AM81"/>
    <mergeCell ref="AN81:AO81"/>
    <mergeCell ref="AP81:AQ81"/>
    <mergeCell ref="AR81:AS81"/>
    <mergeCell ref="X81:Y81"/>
    <mergeCell ref="Z81:AA81"/>
    <mergeCell ref="AB81:AC81"/>
    <mergeCell ref="AD81:AE81"/>
    <mergeCell ref="AF81:AG81"/>
    <mergeCell ref="L81:M81"/>
    <mergeCell ref="N81:O81"/>
    <mergeCell ref="P81:Q81"/>
    <mergeCell ref="AT81:AU81"/>
    <mergeCell ref="AV81:AW81"/>
    <mergeCell ref="BN92:BO92"/>
    <mergeCell ref="B103:C103"/>
    <mergeCell ref="D103:E103"/>
    <mergeCell ref="F103:G103"/>
    <mergeCell ref="H103:I103"/>
    <mergeCell ref="J103:K103"/>
    <mergeCell ref="AV92:AW92"/>
    <mergeCell ref="AX92:AY92"/>
    <mergeCell ref="AZ92:BA92"/>
    <mergeCell ref="BB92:BC92"/>
    <mergeCell ref="BD92:BE92"/>
    <mergeCell ref="BF92:BG92"/>
    <mergeCell ref="AJ92:AK92"/>
    <mergeCell ref="AL92:AM92"/>
    <mergeCell ref="AN92:AO92"/>
    <mergeCell ref="AP92:AQ92"/>
    <mergeCell ref="AR92:AS92"/>
    <mergeCell ref="AT92:AU92"/>
    <mergeCell ref="X92:Y92"/>
    <mergeCell ref="Z92:AA92"/>
    <mergeCell ref="AB92:AC92"/>
    <mergeCell ref="AD92:AE92"/>
    <mergeCell ref="AF92:AG92"/>
    <mergeCell ref="B92:C92"/>
    <mergeCell ref="L103:M103"/>
    <mergeCell ref="N103:O103"/>
    <mergeCell ref="P103:Q103"/>
    <mergeCell ref="R103:S103"/>
    <mergeCell ref="T103:U103"/>
    <mergeCell ref="V103:W103"/>
    <mergeCell ref="BH92:BI92"/>
    <mergeCell ref="BJ92:BK92"/>
    <mergeCell ref="BL92:BM92"/>
    <mergeCell ref="AH92:AI92"/>
    <mergeCell ref="N92:O92"/>
    <mergeCell ref="P92:Q92"/>
    <mergeCell ref="R92:S92"/>
    <mergeCell ref="T92:U92"/>
    <mergeCell ref="V92:W92"/>
    <mergeCell ref="AH103:AI103"/>
    <mergeCell ref="AJ103:AK103"/>
    <mergeCell ref="AL103:AM103"/>
    <mergeCell ref="AN103:AO103"/>
    <mergeCell ref="AP103:AQ103"/>
    <mergeCell ref="AR103:AS103"/>
    <mergeCell ref="X103:Y103"/>
    <mergeCell ref="BN103:BO103"/>
    <mergeCell ref="AT103:AU103"/>
    <mergeCell ref="AV103:AW103"/>
    <mergeCell ref="AX103:AY103"/>
    <mergeCell ref="AZ103:BA103"/>
    <mergeCell ref="BB103:BC103"/>
    <mergeCell ref="BD103:BE103"/>
    <mergeCell ref="Z103:AA103"/>
    <mergeCell ref="AB103:AC103"/>
    <mergeCell ref="AD103:AE103"/>
    <mergeCell ref="AF103:AG103"/>
    <mergeCell ref="BF103:BG103"/>
    <mergeCell ref="BH103:BI103"/>
    <mergeCell ref="BJ103:BK103"/>
    <mergeCell ref="BL103:BM10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8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33.140625" style="6" customWidth="1"/>
    <col min="2" max="33" width="16" style="6" customWidth="1"/>
    <col min="34" max="34" width="16" style="7" customWidth="1"/>
    <col min="35" max="67" width="16" style="6" customWidth="1"/>
    <col min="68" max="16384" width="9.140625" style="6"/>
  </cols>
  <sheetData>
    <row r="1" spans="1:67" ht="18.75" x14ac:dyDescent="0.3">
      <c r="A1" s="8" t="s">
        <v>215</v>
      </c>
    </row>
    <row r="2" spans="1:67" x14ac:dyDescent="0.25">
      <c r="A2" s="23" t="s">
        <v>34</v>
      </c>
    </row>
    <row r="3" spans="1:67" x14ac:dyDescent="0.25">
      <c r="A3" s="24" t="s">
        <v>216</v>
      </c>
    </row>
    <row r="4" spans="1:67" x14ac:dyDescent="0.25">
      <c r="A4" s="3" t="s">
        <v>0</v>
      </c>
      <c r="B4" s="119" t="s">
        <v>1</v>
      </c>
      <c r="C4" s="120"/>
      <c r="D4" s="119" t="s">
        <v>282</v>
      </c>
      <c r="E4" s="120"/>
      <c r="F4" s="119" t="s">
        <v>2</v>
      </c>
      <c r="G4" s="120"/>
      <c r="H4" s="119" t="s">
        <v>3</v>
      </c>
      <c r="I4" s="120"/>
      <c r="J4" s="119" t="s">
        <v>4</v>
      </c>
      <c r="K4" s="120"/>
      <c r="L4" s="119" t="s">
        <v>283</v>
      </c>
      <c r="M4" s="120"/>
      <c r="N4" s="119" t="s">
        <v>6</v>
      </c>
      <c r="O4" s="120"/>
      <c r="P4" s="119" t="s">
        <v>5</v>
      </c>
      <c r="Q4" s="120"/>
      <c r="R4" s="119" t="s">
        <v>7</v>
      </c>
      <c r="S4" s="120"/>
      <c r="T4" s="119" t="s">
        <v>284</v>
      </c>
      <c r="U4" s="120"/>
      <c r="V4" s="119" t="s">
        <v>8</v>
      </c>
      <c r="W4" s="120"/>
      <c r="X4" s="119" t="s">
        <v>9</v>
      </c>
      <c r="Y4" s="120"/>
      <c r="Z4" s="119" t="s">
        <v>10</v>
      </c>
      <c r="AA4" s="120"/>
      <c r="AB4" s="119" t="s">
        <v>293</v>
      </c>
      <c r="AC4" s="120"/>
      <c r="AD4" s="119" t="s">
        <v>11</v>
      </c>
      <c r="AE4" s="120"/>
      <c r="AF4" s="119" t="s">
        <v>12</v>
      </c>
      <c r="AG4" s="120"/>
      <c r="AH4" s="119" t="s">
        <v>285</v>
      </c>
      <c r="AI4" s="120"/>
      <c r="AJ4" s="119" t="s">
        <v>290</v>
      </c>
      <c r="AK4" s="120"/>
      <c r="AL4" s="119" t="s">
        <v>13</v>
      </c>
      <c r="AM4" s="120"/>
      <c r="AN4" s="119" t="s">
        <v>286</v>
      </c>
      <c r="AO4" s="120"/>
      <c r="AP4" s="119" t="s">
        <v>287</v>
      </c>
      <c r="AQ4" s="120"/>
      <c r="AR4" s="119" t="s">
        <v>291</v>
      </c>
      <c r="AS4" s="120"/>
      <c r="AT4" s="119" t="s">
        <v>294</v>
      </c>
      <c r="AU4" s="120"/>
      <c r="AV4" s="119" t="s">
        <v>14</v>
      </c>
      <c r="AW4" s="120"/>
      <c r="AX4" s="119" t="s">
        <v>15</v>
      </c>
      <c r="AY4" s="120"/>
      <c r="AZ4" s="119" t="s">
        <v>16</v>
      </c>
      <c r="BA4" s="120"/>
      <c r="BB4" s="119" t="s">
        <v>17</v>
      </c>
      <c r="BC4" s="120"/>
      <c r="BD4" s="119" t="s">
        <v>18</v>
      </c>
      <c r="BE4" s="120"/>
      <c r="BF4" s="119" t="s">
        <v>288</v>
      </c>
      <c r="BG4" s="120"/>
      <c r="BH4" s="119" t="s">
        <v>289</v>
      </c>
      <c r="BI4" s="120"/>
      <c r="BJ4" s="119" t="s">
        <v>19</v>
      </c>
      <c r="BK4" s="120"/>
      <c r="BL4" s="119" t="s">
        <v>20</v>
      </c>
      <c r="BM4" s="120"/>
      <c r="BN4" s="121" t="s">
        <v>21</v>
      </c>
      <c r="BO4" s="122"/>
    </row>
    <row r="5" spans="1:67" ht="30" x14ac:dyDescent="0.25">
      <c r="A5" s="3"/>
      <c r="B5" s="57" t="s">
        <v>296</v>
      </c>
      <c r="C5" s="58" t="s">
        <v>297</v>
      </c>
      <c r="D5" s="57" t="s">
        <v>296</v>
      </c>
      <c r="E5" s="58" t="s">
        <v>297</v>
      </c>
      <c r="F5" s="57" t="s">
        <v>296</v>
      </c>
      <c r="G5" s="58" t="s">
        <v>297</v>
      </c>
      <c r="H5" s="57" t="s">
        <v>296</v>
      </c>
      <c r="I5" s="58" t="s">
        <v>297</v>
      </c>
      <c r="J5" s="57" t="s">
        <v>296</v>
      </c>
      <c r="K5" s="58" t="s">
        <v>297</v>
      </c>
      <c r="L5" s="57" t="s">
        <v>296</v>
      </c>
      <c r="M5" s="58" t="s">
        <v>297</v>
      </c>
      <c r="N5" s="57" t="s">
        <v>296</v>
      </c>
      <c r="O5" s="58" t="s">
        <v>297</v>
      </c>
      <c r="P5" s="57" t="s">
        <v>296</v>
      </c>
      <c r="Q5" s="58" t="s">
        <v>297</v>
      </c>
      <c r="R5" s="57" t="s">
        <v>296</v>
      </c>
      <c r="S5" s="58" t="s">
        <v>297</v>
      </c>
      <c r="T5" s="57" t="s">
        <v>296</v>
      </c>
      <c r="U5" s="58" t="s">
        <v>297</v>
      </c>
      <c r="V5" s="57" t="s">
        <v>296</v>
      </c>
      <c r="W5" s="58" t="s">
        <v>297</v>
      </c>
      <c r="X5" s="57" t="s">
        <v>296</v>
      </c>
      <c r="Y5" s="58" t="s">
        <v>297</v>
      </c>
      <c r="Z5" s="57" t="s">
        <v>296</v>
      </c>
      <c r="AA5" s="58" t="s">
        <v>297</v>
      </c>
      <c r="AB5" s="57" t="s">
        <v>296</v>
      </c>
      <c r="AC5" s="58" t="s">
        <v>297</v>
      </c>
      <c r="AD5" s="57" t="s">
        <v>296</v>
      </c>
      <c r="AE5" s="58" t="s">
        <v>297</v>
      </c>
      <c r="AF5" s="57" t="s">
        <v>296</v>
      </c>
      <c r="AG5" s="58" t="s">
        <v>297</v>
      </c>
      <c r="AH5" s="57" t="s">
        <v>296</v>
      </c>
      <c r="AI5" s="58" t="s">
        <v>297</v>
      </c>
      <c r="AJ5" s="57" t="s">
        <v>296</v>
      </c>
      <c r="AK5" s="58" t="s">
        <v>297</v>
      </c>
      <c r="AL5" s="57" t="s">
        <v>296</v>
      </c>
      <c r="AM5" s="58" t="s">
        <v>297</v>
      </c>
      <c r="AN5" s="57" t="s">
        <v>296</v>
      </c>
      <c r="AO5" s="58" t="s">
        <v>297</v>
      </c>
      <c r="AP5" s="57" t="s">
        <v>296</v>
      </c>
      <c r="AQ5" s="58" t="s">
        <v>297</v>
      </c>
      <c r="AR5" s="57" t="s">
        <v>296</v>
      </c>
      <c r="AS5" s="58" t="s">
        <v>297</v>
      </c>
      <c r="AT5" s="57" t="s">
        <v>296</v>
      </c>
      <c r="AU5" s="58" t="s">
        <v>297</v>
      </c>
      <c r="AV5" s="57" t="s">
        <v>296</v>
      </c>
      <c r="AW5" s="58" t="s">
        <v>297</v>
      </c>
      <c r="AX5" s="57" t="s">
        <v>296</v>
      </c>
      <c r="AY5" s="58" t="s">
        <v>297</v>
      </c>
      <c r="AZ5" s="57" t="s">
        <v>296</v>
      </c>
      <c r="BA5" s="58" t="s">
        <v>297</v>
      </c>
      <c r="BB5" s="57" t="s">
        <v>296</v>
      </c>
      <c r="BC5" s="58" t="s">
        <v>297</v>
      </c>
      <c r="BD5" s="57" t="s">
        <v>296</v>
      </c>
      <c r="BE5" s="58" t="s">
        <v>297</v>
      </c>
      <c r="BF5" s="57" t="s">
        <v>296</v>
      </c>
      <c r="BG5" s="58" t="s">
        <v>297</v>
      </c>
      <c r="BH5" s="57" t="s">
        <v>296</v>
      </c>
      <c r="BI5" s="58" t="s">
        <v>297</v>
      </c>
      <c r="BJ5" s="57" t="s">
        <v>296</v>
      </c>
      <c r="BK5" s="58" t="s">
        <v>297</v>
      </c>
      <c r="BL5" s="57" t="s">
        <v>296</v>
      </c>
      <c r="BM5" s="58" t="s">
        <v>297</v>
      </c>
      <c r="BN5" s="57" t="s">
        <v>296</v>
      </c>
      <c r="BO5" s="58" t="s">
        <v>297</v>
      </c>
    </row>
    <row r="6" spans="1:67" x14ac:dyDescent="0.25">
      <c r="A6" s="25" t="s">
        <v>225</v>
      </c>
      <c r="B6" s="9"/>
      <c r="C6" s="9"/>
      <c r="D6" s="9"/>
      <c r="E6" s="9"/>
      <c r="F6" s="9"/>
      <c r="G6" s="9"/>
      <c r="H6" s="84">
        <v>375214</v>
      </c>
      <c r="I6" s="84">
        <v>1329364</v>
      </c>
      <c r="J6" s="84">
        <v>44441</v>
      </c>
      <c r="K6" s="84">
        <v>252467</v>
      </c>
      <c r="L6" s="84">
        <v>126174</v>
      </c>
      <c r="M6" s="84">
        <v>386814</v>
      </c>
      <c r="N6" s="9"/>
      <c r="O6" s="9"/>
      <c r="P6" s="84">
        <v>2478</v>
      </c>
      <c r="Q6" s="84">
        <v>12628</v>
      </c>
      <c r="R6" s="84">
        <v>106086</v>
      </c>
      <c r="S6" s="84">
        <v>388687</v>
      </c>
      <c r="T6" s="84">
        <v>31295</v>
      </c>
      <c r="U6" s="84">
        <v>147011</v>
      </c>
      <c r="V6" s="84">
        <v>259976</v>
      </c>
      <c r="W6" s="84">
        <v>1094947</v>
      </c>
      <c r="X6" s="84">
        <v>340907</v>
      </c>
      <c r="Y6" s="84">
        <v>1651697</v>
      </c>
      <c r="Z6" s="84">
        <v>226969</v>
      </c>
      <c r="AA6" s="84">
        <v>908654</v>
      </c>
      <c r="AB6" s="84">
        <v>9659</v>
      </c>
      <c r="AC6" s="84">
        <v>34426</v>
      </c>
      <c r="AD6" s="84">
        <v>31482</v>
      </c>
      <c r="AE6" s="84">
        <v>99187</v>
      </c>
      <c r="AF6" s="84">
        <v>41155</v>
      </c>
      <c r="AG6" s="84">
        <v>101992</v>
      </c>
      <c r="AH6" s="74"/>
      <c r="AI6" s="9"/>
      <c r="AJ6" s="9"/>
      <c r="AK6" s="9"/>
      <c r="AL6" s="9">
        <v>311787.32199999993</v>
      </c>
      <c r="AM6" s="9">
        <v>1178503.257</v>
      </c>
      <c r="AN6" s="84">
        <v>25337</v>
      </c>
      <c r="AO6" s="84">
        <v>50533</v>
      </c>
      <c r="AP6" s="84">
        <v>3179</v>
      </c>
      <c r="AQ6" s="84">
        <v>13284</v>
      </c>
      <c r="AR6" s="9">
        <v>124660</v>
      </c>
      <c r="AS6" s="9">
        <v>753260</v>
      </c>
      <c r="AT6" s="9"/>
      <c r="AU6" s="9"/>
      <c r="AV6" s="84">
        <v>74956</v>
      </c>
      <c r="AW6" s="84">
        <v>325541</v>
      </c>
      <c r="AX6" s="84">
        <v>473881</v>
      </c>
      <c r="AY6" s="84">
        <v>1587672</v>
      </c>
      <c r="AZ6" s="84">
        <v>8795</v>
      </c>
      <c r="BA6" s="84">
        <v>43588</v>
      </c>
      <c r="BB6" s="9"/>
      <c r="BC6" s="9"/>
      <c r="BD6" s="103">
        <v>308650</v>
      </c>
      <c r="BE6" s="103">
        <v>1343372</v>
      </c>
      <c r="BF6" s="84">
        <v>1391352</v>
      </c>
      <c r="BG6" s="84">
        <v>5551433</v>
      </c>
      <c r="BH6" s="103">
        <v>434276</v>
      </c>
      <c r="BI6" s="103">
        <v>1588081</v>
      </c>
      <c r="BJ6" s="103">
        <v>467198</v>
      </c>
      <c r="BK6" s="103">
        <v>1533538</v>
      </c>
      <c r="BL6" s="103">
        <v>37962</v>
      </c>
      <c r="BM6" s="103">
        <v>162086</v>
      </c>
      <c r="BN6" s="73">
        <f>SUM(B6+D6+F6+H6+J6+L6+N6+P6+R6+T6+V6+X6+Z6+AB6+AD6+AF6+AH6+AJ6+AL6+AN6+AP6+AR6+AT6+AV6+AX6+AZ6+BB6+BD6+BF6+BH6+BJ6+BL6)</f>
        <v>5257869.3219999997</v>
      </c>
      <c r="BO6" s="73">
        <f>SUM(C6+E6+G6+I6+K6+M6+O6+Q6+S6+U6+W6+Y6+AA6+AC6+AE6+AG6+AI6+AK6+AM6+AO6+AQ6+AS6+AU6+AW6+AY6+BA6+BC6+BE6+BG6+BI6+BK6+BM6)</f>
        <v>20538765.256999999</v>
      </c>
    </row>
    <row r="7" spans="1:67" x14ac:dyDescent="0.25">
      <c r="A7" s="25" t="s">
        <v>276</v>
      </c>
      <c r="B7" s="9"/>
      <c r="C7" s="9"/>
      <c r="D7" s="9"/>
      <c r="E7" s="9"/>
      <c r="F7" s="9"/>
      <c r="G7" s="9"/>
      <c r="H7" s="84">
        <v>12574</v>
      </c>
      <c r="I7" s="84">
        <v>52504</v>
      </c>
      <c r="J7" s="84">
        <v>2362</v>
      </c>
      <c r="K7" s="84">
        <v>14001</v>
      </c>
      <c r="L7" s="84">
        <v>485</v>
      </c>
      <c r="M7" s="84">
        <v>2608</v>
      </c>
      <c r="N7" s="9"/>
      <c r="O7" s="9"/>
      <c r="P7" s="84">
        <v>859</v>
      </c>
      <c r="Q7" s="84">
        <v>7309</v>
      </c>
      <c r="R7" s="84">
        <v>2828</v>
      </c>
      <c r="S7" s="84">
        <v>43895</v>
      </c>
      <c r="T7" s="84">
        <v>22988</v>
      </c>
      <c r="U7" s="84">
        <v>372294</v>
      </c>
      <c r="V7" s="84">
        <v>10733</v>
      </c>
      <c r="W7" s="84">
        <v>75138</v>
      </c>
      <c r="X7" s="84">
        <v>11732</v>
      </c>
      <c r="Y7" s="84">
        <v>103040</v>
      </c>
      <c r="Z7" s="84">
        <v>4558</v>
      </c>
      <c r="AA7" s="84">
        <v>47667</v>
      </c>
      <c r="AB7" s="84">
        <v>1346</v>
      </c>
      <c r="AC7" s="84">
        <v>2243</v>
      </c>
      <c r="AD7" s="84">
        <v>-170</v>
      </c>
      <c r="AE7" s="84">
        <v>3754</v>
      </c>
      <c r="AF7" s="84">
        <v>3286</v>
      </c>
      <c r="AG7" s="84">
        <v>37115</v>
      </c>
      <c r="AH7" s="74"/>
      <c r="AI7" s="9"/>
      <c r="AJ7" s="9"/>
      <c r="AK7" s="9"/>
      <c r="AL7" s="9">
        <v>173983.99000000002</v>
      </c>
      <c r="AM7" s="9">
        <v>264420.89</v>
      </c>
      <c r="AN7" s="84">
        <v>110</v>
      </c>
      <c r="AO7" s="84">
        <v>572</v>
      </c>
      <c r="AP7" s="84">
        <v>5433</v>
      </c>
      <c r="AQ7" s="84">
        <v>10474</v>
      </c>
      <c r="AR7" s="9">
        <v>6898</v>
      </c>
      <c r="AS7" s="9">
        <v>37416</v>
      </c>
      <c r="AT7" s="9"/>
      <c r="AU7" s="9"/>
      <c r="AV7" s="84">
        <v>7974</v>
      </c>
      <c r="AW7" s="84">
        <v>56280</v>
      </c>
      <c r="AX7" s="84">
        <v>1118</v>
      </c>
      <c r="AY7" s="84">
        <v>4727</v>
      </c>
      <c r="AZ7" s="84">
        <v>1110</v>
      </c>
      <c r="BA7" s="84">
        <v>6947</v>
      </c>
      <c r="BB7" s="9"/>
      <c r="BC7" s="9"/>
      <c r="BD7" s="103">
        <v>17287</v>
      </c>
      <c r="BE7" s="103">
        <v>72527</v>
      </c>
      <c r="BF7" s="84">
        <v>542584</v>
      </c>
      <c r="BG7" s="84">
        <v>1846284</v>
      </c>
      <c r="BH7" s="103">
        <v>21425</v>
      </c>
      <c r="BI7" s="103">
        <v>159737</v>
      </c>
      <c r="BJ7" s="103">
        <v>15741</v>
      </c>
      <c r="BK7" s="103">
        <v>110072</v>
      </c>
      <c r="BL7" s="103">
        <v>549</v>
      </c>
      <c r="BM7" s="103">
        <v>2859</v>
      </c>
      <c r="BN7" s="73">
        <f t="shared" ref="BN7:BN9" si="0">SUM(B7+D7+F7+H7+J7+L7+N7+P7+R7+T7+V7+X7+Z7+AB7+AD7+AF7+AH7+AJ7+AL7+AN7+AP7+AR7+AT7+AV7+AX7+AZ7+BB7+BD7+BF7+BH7+BJ7+BL7)</f>
        <v>867793.99</v>
      </c>
      <c r="BO7" s="73">
        <f t="shared" ref="BO7:BO9" si="1">SUM(C7+E7+G7+I7+K7+M7+O7+Q7+S7+U7+W7+Y7+AA7+AC7+AE7+AG7+AI7+AK7+AM7+AO7+AQ7+AS7+AU7+AW7+AY7+BA7+BC7+BE7+BG7+BI7+BK7+BM7)</f>
        <v>3333883.89</v>
      </c>
    </row>
    <row r="8" spans="1:67" x14ac:dyDescent="0.25">
      <c r="A8" s="25" t="s">
        <v>277</v>
      </c>
      <c r="B8" s="84">
        <v>1</v>
      </c>
      <c r="C8" s="84">
        <v>1</v>
      </c>
      <c r="D8" s="9"/>
      <c r="E8" s="9"/>
      <c r="F8" s="9"/>
      <c r="G8" s="9"/>
      <c r="H8" s="84">
        <v>703421</v>
      </c>
      <c r="I8" s="84">
        <v>3005313</v>
      </c>
      <c r="J8" s="84">
        <v>135178</v>
      </c>
      <c r="K8" s="84">
        <v>343957</v>
      </c>
      <c r="L8" s="84">
        <v>221806</v>
      </c>
      <c r="M8" s="84">
        <v>581113</v>
      </c>
      <c r="N8" s="9"/>
      <c r="O8" s="9"/>
      <c r="P8" s="84">
        <v>6238</v>
      </c>
      <c r="Q8" s="84">
        <v>22888</v>
      </c>
      <c r="R8" s="84">
        <v>100484</v>
      </c>
      <c r="S8" s="84">
        <v>463790</v>
      </c>
      <c r="T8" s="84">
        <v>121495</v>
      </c>
      <c r="U8" s="84">
        <v>741180</v>
      </c>
      <c r="V8" s="84">
        <v>-414421</v>
      </c>
      <c r="W8" s="84">
        <v>-1811154</v>
      </c>
      <c r="X8" s="84">
        <v>1044875</v>
      </c>
      <c r="Y8" s="84">
        <v>2864929</v>
      </c>
      <c r="Z8" s="84">
        <v>74161</v>
      </c>
      <c r="AA8" s="84">
        <v>1329121</v>
      </c>
      <c r="AB8" s="84">
        <v>18541</v>
      </c>
      <c r="AC8" s="84">
        <v>38529</v>
      </c>
      <c r="AD8" s="84">
        <v>71411</v>
      </c>
      <c r="AE8" s="84">
        <v>168462</v>
      </c>
      <c r="AF8" s="84">
        <v>-52833</v>
      </c>
      <c r="AG8" s="84">
        <v>-164367</v>
      </c>
      <c r="AH8" s="74"/>
      <c r="AI8" s="9"/>
      <c r="AJ8" s="9"/>
      <c r="AK8" s="9"/>
      <c r="AL8" s="9">
        <v>125526.43999999997</v>
      </c>
      <c r="AM8" s="9">
        <v>364657.42599999998</v>
      </c>
      <c r="AN8" s="84">
        <v>320</v>
      </c>
      <c r="AO8" s="84">
        <v>10426</v>
      </c>
      <c r="AP8" s="84">
        <v>6767</v>
      </c>
      <c r="AQ8" s="84">
        <v>19176</v>
      </c>
      <c r="AR8" s="9">
        <v>436623</v>
      </c>
      <c r="AS8" s="9">
        <v>973650</v>
      </c>
      <c r="AT8" s="9"/>
      <c r="AU8" s="9"/>
      <c r="AV8" s="84">
        <v>-82361</v>
      </c>
      <c r="AW8" s="84">
        <v>-434907</v>
      </c>
      <c r="AX8" s="84">
        <v>1007289</v>
      </c>
      <c r="AY8" s="84">
        <v>4046492</v>
      </c>
      <c r="AZ8" s="84">
        <v>274</v>
      </c>
      <c r="BA8" s="84">
        <v>14457</v>
      </c>
      <c r="BB8" s="9"/>
      <c r="BC8" s="9"/>
      <c r="BD8" s="103">
        <v>568553</v>
      </c>
      <c r="BE8" s="103">
        <v>2495544</v>
      </c>
      <c r="BF8" s="84">
        <v>440902</v>
      </c>
      <c r="BG8" s="84">
        <v>1800386</v>
      </c>
      <c r="BH8" s="103">
        <v>122705</v>
      </c>
      <c r="BI8" s="103">
        <v>603439</v>
      </c>
      <c r="BJ8" s="103">
        <v>83939</v>
      </c>
      <c r="BK8" s="103">
        <v>476124</v>
      </c>
      <c r="BL8" s="103">
        <v>16668</v>
      </c>
      <c r="BM8" s="103">
        <v>134969</v>
      </c>
      <c r="BN8" s="73">
        <f t="shared" si="0"/>
        <v>4757562.4399999995</v>
      </c>
      <c r="BO8" s="73">
        <f t="shared" si="1"/>
        <v>18088175.425999999</v>
      </c>
    </row>
    <row r="9" spans="1:67" x14ac:dyDescent="0.25">
      <c r="A9" s="25" t="s">
        <v>226</v>
      </c>
      <c r="B9" s="84">
        <v>-1</v>
      </c>
      <c r="C9" s="84">
        <v>-1</v>
      </c>
      <c r="D9" s="9"/>
      <c r="E9" s="9"/>
      <c r="F9" s="9"/>
      <c r="G9" s="9"/>
      <c r="H9" s="84">
        <v>-315633</v>
      </c>
      <c r="I9" s="84">
        <v>-1623445</v>
      </c>
      <c r="J9" s="84">
        <v>-88374</v>
      </c>
      <c r="K9" s="84">
        <v>-77489</v>
      </c>
      <c r="L9" s="84">
        <v>-95147</v>
      </c>
      <c r="M9" s="84">
        <v>-191691</v>
      </c>
      <c r="N9" s="9"/>
      <c r="O9" s="9"/>
      <c r="P9" s="84">
        <v>-2901</v>
      </c>
      <c r="Q9" s="84">
        <v>-2951</v>
      </c>
      <c r="R9" s="84">
        <v>8430</v>
      </c>
      <c r="S9" s="84">
        <v>-31209</v>
      </c>
      <c r="T9" s="84">
        <v>-67212</v>
      </c>
      <c r="U9" s="84">
        <v>-221875</v>
      </c>
      <c r="V9" s="84">
        <v>-143713</v>
      </c>
      <c r="W9" s="84">
        <v>-641069</v>
      </c>
      <c r="X9" s="84">
        <v>-692236</v>
      </c>
      <c r="Y9" s="84">
        <v>-1110192</v>
      </c>
      <c r="Z9" s="84">
        <v>157366</v>
      </c>
      <c r="AA9" s="84">
        <v>-372800</v>
      </c>
      <c r="AB9" s="84">
        <v>-7536</v>
      </c>
      <c r="AC9" s="84">
        <v>-1860</v>
      </c>
      <c r="AD9" s="84">
        <v>-40099</v>
      </c>
      <c r="AE9" s="84">
        <v>-65521</v>
      </c>
      <c r="AF9" s="84">
        <v>-8392</v>
      </c>
      <c r="AG9" s="84">
        <v>-25260</v>
      </c>
      <c r="AH9" s="74"/>
      <c r="AI9" s="9"/>
      <c r="AJ9" s="9"/>
      <c r="AK9" s="9"/>
      <c r="AL9" s="9">
        <v>360244.87199999997</v>
      </c>
      <c r="AM9" s="9">
        <v>1078266.7209999999</v>
      </c>
      <c r="AN9" s="84">
        <v>25767</v>
      </c>
      <c r="AO9" s="84">
        <v>61531</v>
      </c>
      <c r="AP9" s="84">
        <v>1845</v>
      </c>
      <c r="AQ9" s="84">
        <v>4582</v>
      </c>
      <c r="AR9" s="9">
        <v>-305065</v>
      </c>
      <c r="AS9" s="9">
        <v>-182974</v>
      </c>
      <c r="AT9" s="9"/>
      <c r="AU9" s="9"/>
      <c r="AV9" s="84">
        <v>569</v>
      </c>
      <c r="AW9" s="84">
        <v>-53086</v>
      </c>
      <c r="AX9" s="84">
        <v>-532290</v>
      </c>
      <c r="AY9" s="84">
        <v>-2454093</v>
      </c>
      <c r="AZ9" s="84">
        <v>9631</v>
      </c>
      <c r="BA9" s="84">
        <v>36078</v>
      </c>
      <c r="BB9" s="9"/>
      <c r="BC9" s="9"/>
      <c r="BD9" s="103">
        <v>-242616</v>
      </c>
      <c r="BE9" s="103">
        <v>-1079645</v>
      </c>
      <c r="BF9" s="84">
        <v>1493034</v>
      </c>
      <c r="BG9" s="84">
        <v>5597331</v>
      </c>
      <c r="BH9" s="103">
        <v>332996</v>
      </c>
      <c r="BI9" s="103">
        <v>1144379</v>
      </c>
      <c r="BJ9" s="103">
        <v>399000</v>
      </c>
      <c r="BK9" s="103">
        <v>1167486</v>
      </c>
      <c r="BL9" s="103">
        <v>21843</v>
      </c>
      <c r="BM9" s="103">
        <v>29976</v>
      </c>
      <c r="BN9" s="73">
        <f t="shared" si="0"/>
        <v>269510.87199999997</v>
      </c>
      <c r="BO9" s="73">
        <f t="shared" si="1"/>
        <v>984468.7209999999</v>
      </c>
    </row>
    <row r="10" spans="1:67" x14ac:dyDescent="0.25">
      <c r="A10" s="23"/>
    </row>
    <row r="11" spans="1:67" x14ac:dyDescent="0.25">
      <c r="A11" s="24" t="s">
        <v>217</v>
      </c>
    </row>
    <row r="12" spans="1:67" x14ac:dyDescent="0.25">
      <c r="A12" s="3" t="s">
        <v>0</v>
      </c>
      <c r="B12" s="119" t="s">
        <v>1</v>
      </c>
      <c r="C12" s="120"/>
      <c r="D12" s="119" t="s">
        <v>282</v>
      </c>
      <c r="E12" s="120"/>
      <c r="F12" s="119" t="s">
        <v>2</v>
      </c>
      <c r="G12" s="120"/>
      <c r="H12" s="119" t="s">
        <v>3</v>
      </c>
      <c r="I12" s="120"/>
      <c r="J12" s="119" t="s">
        <v>4</v>
      </c>
      <c r="K12" s="120"/>
      <c r="L12" s="119" t="s">
        <v>283</v>
      </c>
      <c r="M12" s="120"/>
      <c r="N12" s="119" t="s">
        <v>6</v>
      </c>
      <c r="O12" s="120"/>
      <c r="P12" s="119" t="s">
        <v>5</v>
      </c>
      <c r="Q12" s="120"/>
      <c r="R12" s="119" t="s">
        <v>7</v>
      </c>
      <c r="S12" s="120"/>
      <c r="T12" s="119" t="s">
        <v>284</v>
      </c>
      <c r="U12" s="120"/>
      <c r="V12" s="119" t="s">
        <v>8</v>
      </c>
      <c r="W12" s="120"/>
      <c r="X12" s="119" t="s">
        <v>9</v>
      </c>
      <c r="Y12" s="120"/>
      <c r="Z12" s="119" t="s">
        <v>10</v>
      </c>
      <c r="AA12" s="120"/>
      <c r="AB12" s="119" t="s">
        <v>293</v>
      </c>
      <c r="AC12" s="120"/>
      <c r="AD12" s="119" t="s">
        <v>11</v>
      </c>
      <c r="AE12" s="120"/>
      <c r="AF12" s="119" t="s">
        <v>12</v>
      </c>
      <c r="AG12" s="120"/>
      <c r="AH12" s="119" t="s">
        <v>285</v>
      </c>
      <c r="AI12" s="120"/>
      <c r="AJ12" s="119" t="s">
        <v>290</v>
      </c>
      <c r="AK12" s="120"/>
      <c r="AL12" s="119" t="s">
        <v>13</v>
      </c>
      <c r="AM12" s="120"/>
      <c r="AN12" s="119" t="s">
        <v>286</v>
      </c>
      <c r="AO12" s="120"/>
      <c r="AP12" s="119" t="s">
        <v>287</v>
      </c>
      <c r="AQ12" s="120"/>
      <c r="AR12" s="119" t="s">
        <v>291</v>
      </c>
      <c r="AS12" s="120"/>
      <c r="AT12" s="119" t="s">
        <v>294</v>
      </c>
      <c r="AU12" s="120"/>
      <c r="AV12" s="119" t="s">
        <v>14</v>
      </c>
      <c r="AW12" s="120"/>
      <c r="AX12" s="119" t="s">
        <v>15</v>
      </c>
      <c r="AY12" s="120"/>
      <c r="AZ12" s="119" t="s">
        <v>16</v>
      </c>
      <c r="BA12" s="120"/>
      <c r="BB12" s="119" t="s">
        <v>17</v>
      </c>
      <c r="BC12" s="120"/>
      <c r="BD12" s="119" t="s">
        <v>18</v>
      </c>
      <c r="BE12" s="120"/>
      <c r="BF12" s="119" t="s">
        <v>288</v>
      </c>
      <c r="BG12" s="120"/>
      <c r="BH12" s="119" t="s">
        <v>289</v>
      </c>
      <c r="BI12" s="120"/>
      <c r="BJ12" s="119" t="s">
        <v>19</v>
      </c>
      <c r="BK12" s="120"/>
      <c r="BL12" s="119" t="s">
        <v>20</v>
      </c>
      <c r="BM12" s="120"/>
      <c r="BN12" s="121" t="s">
        <v>21</v>
      </c>
      <c r="BO12" s="122"/>
    </row>
    <row r="13" spans="1:67" ht="30" x14ac:dyDescent="0.25">
      <c r="A13" s="3"/>
      <c r="B13" s="57" t="s">
        <v>296</v>
      </c>
      <c r="C13" s="58" t="s">
        <v>297</v>
      </c>
      <c r="D13" s="57" t="s">
        <v>296</v>
      </c>
      <c r="E13" s="58" t="s">
        <v>297</v>
      </c>
      <c r="F13" s="57" t="s">
        <v>296</v>
      </c>
      <c r="G13" s="58" t="s">
        <v>297</v>
      </c>
      <c r="H13" s="57" t="s">
        <v>296</v>
      </c>
      <c r="I13" s="58" t="s">
        <v>297</v>
      </c>
      <c r="J13" s="57" t="s">
        <v>296</v>
      </c>
      <c r="K13" s="58" t="s">
        <v>297</v>
      </c>
      <c r="L13" s="57" t="s">
        <v>296</v>
      </c>
      <c r="M13" s="58" t="s">
        <v>297</v>
      </c>
      <c r="N13" s="57" t="s">
        <v>296</v>
      </c>
      <c r="O13" s="58" t="s">
        <v>297</v>
      </c>
      <c r="P13" s="57" t="s">
        <v>296</v>
      </c>
      <c r="Q13" s="58" t="s">
        <v>297</v>
      </c>
      <c r="R13" s="57" t="s">
        <v>296</v>
      </c>
      <c r="S13" s="58" t="s">
        <v>297</v>
      </c>
      <c r="T13" s="57" t="s">
        <v>296</v>
      </c>
      <c r="U13" s="58" t="s">
        <v>297</v>
      </c>
      <c r="V13" s="57" t="s">
        <v>296</v>
      </c>
      <c r="W13" s="58" t="s">
        <v>297</v>
      </c>
      <c r="X13" s="57" t="s">
        <v>296</v>
      </c>
      <c r="Y13" s="58" t="s">
        <v>297</v>
      </c>
      <c r="Z13" s="57" t="s">
        <v>296</v>
      </c>
      <c r="AA13" s="58" t="s">
        <v>297</v>
      </c>
      <c r="AB13" s="57" t="s">
        <v>296</v>
      </c>
      <c r="AC13" s="58" t="s">
        <v>297</v>
      </c>
      <c r="AD13" s="57" t="s">
        <v>296</v>
      </c>
      <c r="AE13" s="58" t="s">
        <v>297</v>
      </c>
      <c r="AF13" s="57" t="s">
        <v>296</v>
      </c>
      <c r="AG13" s="58" t="s">
        <v>297</v>
      </c>
      <c r="AH13" s="57" t="s">
        <v>296</v>
      </c>
      <c r="AI13" s="58" t="s">
        <v>297</v>
      </c>
      <c r="AJ13" s="57" t="s">
        <v>296</v>
      </c>
      <c r="AK13" s="58" t="s">
        <v>297</v>
      </c>
      <c r="AL13" s="57" t="s">
        <v>296</v>
      </c>
      <c r="AM13" s="58" t="s">
        <v>297</v>
      </c>
      <c r="AN13" s="57" t="s">
        <v>296</v>
      </c>
      <c r="AO13" s="58" t="s">
        <v>297</v>
      </c>
      <c r="AP13" s="57" t="s">
        <v>296</v>
      </c>
      <c r="AQ13" s="58" t="s">
        <v>297</v>
      </c>
      <c r="AR13" s="57" t="s">
        <v>296</v>
      </c>
      <c r="AS13" s="58" t="s">
        <v>297</v>
      </c>
      <c r="AT13" s="57" t="s">
        <v>296</v>
      </c>
      <c r="AU13" s="58" t="s">
        <v>297</v>
      </c>
      <c r="AV13" s="57" t="s">
        <v>296</v>
      </c>
      <c r="AW13" s="58" t="s">
        <v>297</v>
      </c>
      <c r="AX13" s="57" t="s">
        <v>296</v>
      </c>
      <c r="AY13" s="58" t="s">
        <v>297</v>
      </c>
      <c r="AZ13" s="57" t="s">
        <v>296</v>
      </c>
      <c r="BA13" s="58" t="s">
        <v>297</v>
      </c>
      <c r="BB13" s="57" t="s">
        <v>296</v>
      </c>
      <c r="BC13" s="58" t="s">
        <v>297</v>
      </c>
      <c r="BD13" s="57" t="s">
        <v>296</v>
      </c>
      <c r="BE13" s="58" t="s">
        <v>297</v>
      </c>
      <c r="BF13" s="57" t="s">
        <v>296</v>
      </c>
      <c r="BG13" s="58" t="s">
        <v>297</v>
      </c>
      <c r="BH13" s="57" t="s">
        <v>296</v>
      </c>
      <c r="BI13" s="58" t="s">
        <v>297</v>
      </c>
      <c r="BJ13" s="57" t="s">
        <v>296</v>
      </c>
      <c r="BK13" s="58" t="s">
        <v>297</v>
      </c>
      <c r="BL13" s="57" t="s">
        <v>296</v>
      </c>
      <c r="BM13" s="58" t="s">
        <v>297</v>
      </c>
      <c r="BN13" s="57" t="s">
        <v>296</v>
      </c>
      <c r="BO13" s="58" t="s">
        <v>297</v>
      </c>
    </row>
    <row r="14" spans="1:67" x14ac:dyDescent="0.25">
      <c r="A14" s="25" t="s">
        <v>225</v>
      </c>
      <c r="B14" s="9"/>
      <c r="C14" s="9"/>
      <c r="D14" s="9"/>
      <c r="E14" s="9"/>
      <c r="F14" s="9"/>
      <c r="G14" s="9"/>
      <c r="H14" s="84">
        <v>40564</v>
      </c>
      <c r="I14" s="84">
        <v>138578</v>
      </c>
      <c r="J14" s="84">
        <v>15903</v>
      </c>
      <c r="K14" s="84">
        <v>77347</v>
      </c>
      <c r="L14" s="84">
        <v>17716</v>
      </c>
      <c r="M14" s="84">
        <v>61649</v>
      </c>
      <c r="N14" s="9"/>
      <c r="O14" s="9"/>
      <c r="P14" s="84">
        <v>4345</v>
      </c>
      <c r="Q14" s="84">
        <v>8928</v>
      </c>
      <c r="R14" s="84">
        <v>23013</v>
      </c>
      <c r="S14" s="84">
        <v>84630</v>
      </c>
      <c r="T14" s="84">
        <v>-13</v>
      </c>
      <c r="U14" s="84">
        <v>738</v>
      </c>
      <c r="V14" s="84">
        <f>6+39717</f>
        <v>39723</v>
      </c>
      <c r="W14" s="84">
        <f>6+142310</f>
        <v>142316</v>
      </c>
      <c r="X14" s="84">
        <v>104565</v>
      </c>
      <c r="Y14" s="84">
        <v>398052</v>
      </c>
      <c r="Z14" s="84">
        <v>46162</v>
      </c>
      <c r="AA14" s="84">
        <v>163969</v>
      </c>
      <c r="AB14" s="84">
        <v>168</v>
      </c>
      <c r="AC14" s="84">
        <v>178</v>
      </c>
      <c r="AD14" s="84">
        <v>20467</v>
      </c>
      <c r="AE14" s="84">
        <v>52638</v>
      </c>
      <c r="AF14" s="84">
        <v>5538</v>
      </c>
      <c r="AG14" s="84">
        <v>12418</v>
      </c>
      <c r="AH14" s="74"/>
      <c r="AI14" s="9"/>
      <c r="AJ14" s="9"/>
      <c r="AK14" s="9"/>
      <c r="AL14" s="9">
        <v>58716.578000000001</v>
      </c>
      <c r="AM14" s="9">
        <v>200778.65</v>
      </c>
      <c r="AN14" s="9"/>
      <c r="AO14" s="9"/>
      <c r="AP14" s="84">
        <v>-144</v>
      </c>
      <c r="AQ14" s="84">
        <v>294</v>
      </c>
      <c r="AR14" s="9">
        <v>18548</v>
      </c>
      <c r="AS14" s="9">
        <v>86311</v>
      </c>
      <c r="AT14" s="9"/>
      <c r="AU14" s="9"/>
      <c r="AV14" s="84">
        <v>15561</v>
      </c>
      <c r="AW14" s="84">
        <v>53729</v>
      </c>
      <c r="AX14" s="84">
        <v>11766</v>
      </c>
      <c r="AY14" s="84">
        <v>49376</v>
      </c>
      <c r="AZ14" s="84">
        <v>210</v>
      </c>
      <c r="BA14" s="84">
        <v>1207</v>
      </c>
      <c r="BB14" s="9"/>
      <c r="BC14" s="9"/>
      <c r="BD14" s="103">
        <v>153142</v>
      </c>
      <c r="BE14" s="103">
        <v>503870</v>
      </c>
      <c r="BF14" s="84">
        <v>178575</v>
      </c>
      <c r="BG14" s="84">
        <v>708003</v>
      </c>
      <c r="BH14" s="103">
        <v>93568</v>
      </c>
      <c r="BI14" s="103">
        <v>315866</v>
      </c>
      <c r="BJ14" s="103">
        <v>77634</v>
      </c>
      <c r="BK14" s="103">
        <v>256998</v>
      </c>
      <c r="BL14" s="103">
        <v>2446</v>
      </c>
      <c r="BM14" s="103">
        <v>11216</v>
      </c>
      <c r="BN14" s="73">
        <f t="shared" ref="BN14:BN17" si="2">SUM(B14+D14+F14+H14+J14+L14+N14+P14+R14+T14+V14+X14+Z14+AB14+AD14+AF14+AH14+AJ14+AL14+AN14+AP14+AR14+AT14+AV14+AX14+AZ14+BB14+BD14+BF14+BH14+BJ14+BL14)</f>
        <v>928173.57799999998</v>
      </c>
      <c r="BO14" s="73">
        <f t="shared" ref="BO14:BO17" si="3">SUM(C14+E14+G14+I14+K14+M14+O14+Q14+S14+U14+W14+Y14+AA14+AC14+AE14+AG14+AI14+AK14+AM14+AO14+AQ14+AS14+AU14+AW14+AY14+BA14+BC14+BE14+BG14+BI14+BK14+BM14)</f>
        <v>3329089.65</v>
      </c>
    </row>
    <row r="15" spans="1:67" x14ac:dyDescent="0.25">
      <c r="A15" s="25" t="s">
        <v>276</v>
      </c>
      <c r="B15" s="9"/>
      <c r="C15" s="9"/>
      <c r="D15" s="9"/>
      <c r="E15" s="9"/>
      <c r="F15" s="9"/>
      <c r="G15" s="9"/>
      <c r="H15" s="84"/>
      <c r="I15" s="84"/>
      <c r="J15" s="84">
        <v>105</v>
      </c>
      <c r="K15" s="84">
        <v>1112</v>
      </c>
      <c r="L15" s="84"/>
      <c r="M15" s="84"/>
      <c r="N15" s="9"/>
      <c r="O15" s="9"/>
      <c r="P15" s="84"/>
      <c r="Q15" s="84">
        <v>22</v>
      </c>
      <c r="R15" s="84">
        <v>170</v>
      </c>
      <c r="S15" s="84">
        <v>1746</v>
      </c>
      <c r="T15" s="84">
        <v>-171</v>
      </c>
      <c r="U15" s="84">
        <v>-591</v>
      </c>
      <c r="V15" s="84">
        <v>1415</v>
      </c>
      <c r="W15" s="84">
        <v>4411</v>
      </c>
      <c r="X15" s="84">
        <v>2031</v>
      </c>
      <c r="Y15" s="84">
        <v>17665</v>
      </c>
      <c r="Z15" s="84">
        <v>414</v>
      </c>
      <c r="AA15" s="84">
        <v>1150</v>
      </c>
      <c r="AB15" s="84"/>
      <c r="AC15" s="84"/>
      <c r="AD15" s="84"/>
      <c r="AE15" s="84"/>
      <c r="AF15" s="84">
        <v>1071</v>
      </c>
      <c r="AG15" s="84">
        <v>2709</v>
      </c>
      <c r="AH15" s="74"/>
      <c r="AI15" s="9"/>
      <c r="AJ15" s="9"/>
      <c r="AK15" s="9"/>
      <c r="AL15" s="9">
        <v>29186.958999999999</v>
      </c>
      <c r="AM15" s="9">
        <v>39135.18</v>
      </c>
      <c r="AN15" s="9"/>
      <c r="AO15" s="9"/>
      <c r="AP15" s="84"/>
      <c r="AQ15" s="84"/>
      <c r="AR15" s="9">
        <v>188</v>
      </c>
      <c r="AS15" s="9">
        <v>1465</v>
      </c>
      <c r="AT15" s="9"/>
      <c r="AU15" s="9"/>
      <c r="AV15" s="84">
        <v>13</v>
      </c>
      <c r="AW15" s="84">
        <v>168</v>
      </c>
      <c r="AX15" s="84">
        <v>1006</v>
      </c>
      <c r="AY15" s="84">
        <v>3269</v>
      </c>
      <c r="AZ15" s="84"/>
      <c r="BA15" s="84"/>
      <c r="BB15" s="9"/>
      <c r="BC15" s="9"/>
      <c r="BD15" s="103">
        <v>18880</v>
      </c>
      <c r="BE15" s="103">
        <v>42254</v>
      </c>
      <c r="BF15" s="84">
        <v>30629</v>
      </c>
      <c r="BG15" s="84">
        <v>95252</v>
      </c>
      <c r="BH15" s="103">
        <v>1749</v>
      </c>
      <c r="BI15" s="103">
        <v>14691</v>
      </c>
      <c r="BJ15" s="103">
        <v>-7145</v>
      </c>
      <c r="BK15" s="103">
        <v>5268</v>
      </c>
      <c r="BL15" s="103"/>
      <c r="BM15" s="103"/>
      <c r="BN15" s="73">
        <f t="shared" si="2"/>
        <v>79541.959000000003</v>
      </c>
      <c r="BO15" s="73">
        <f t="shared" si="3"/>
        <v>229726.18</v>
      </c>
    </row>
    <row r="16" spans="1:67" x14ac:dyDescent="0.25">
      <c r="A16" s="25" t="s">
        <v>277</v>
      </c>
      <c r="B16" s="9"/>
      <c r="C16" s="9"/>
      <c r="D16" s="9"/>
      <c r="E16" s="9"/>
      <c r="F16" s="9"/>
      <c r="G16" s="9"/>
      <c r="H16" s="84">
        <v>14702</v>
      </c>
      <c r="I16" s="84">
        <v>53917</v>
      </c>
      <c r="J16" s="84">
        <v>35585</v>
      </c>
      <c r="K16" s="84">
        <v>51664</v>
      </c>
      <c r="L16" s="84">
        <v>38261</v>
      </c>
      <c r="M16" s="84">
        <v>96836</v>
      </c>
      <c r="N16" s="9"/>
      <c r="O16" s="9"/>
      <c r="P16" s="84">
        <v>4291</v>
      </c>
      <c r="Q16" s="84">
        <v>8762</v>
      </c>
      <c r="R16" s="84">
        <v>4529</v>
      </c>
      <c r="S16" s="84">
        <v>12989</v>
      </c>
      <c r="T16" s="84">
        <v>-262</v>
      </c>
      <c r="U16" s="84">
        <v>-139</v>
      </c>
      <c r="V16" s="84">
        <f>-1752-7675</f>
        <v>-9427</v>
      </c>
      <c r="W16" s="84">
        <f>-7261-30926</f>
        <v>-38187</v>
      </c>
      <c r="X16" s="84">
        <v>46646</v>
      </c>
      <c r="Y16" s="84">
        <v>111463</v>
      </c>
      <c r="Z16" s="84">
        <v>24724</v>
      </c>
      <c r="AA16" s="84">
        <v>104226</v>
      </c>
      <c r="AB16" s="84">
        <v>107</v>
      </c>
      <c r="AC16" s="84">
        <v>113</v>
      </c>
      <c r="AD16" s="84">
        <v>740</v>
      </c>
      <c r="AE16" s="84">
        <v>2289</v>
      </c>
      <c r="AF16" s="84">
        <v>-14057</v>
      </c>
      <c r="AG16" s="84">
        <v>-28823</v>
      </c>
      <c r="AH16" s="74"/>
      <c r="AI16" s="9"/>
      <c r="AJ16" s="9"/>
      <c r="AK16" s="9"/>
      <c r="AL16" s="9">
        <v>20196.256999999998</v>
      </c>
      <c r="AM16" s="9">
        <v>86267.451000000001</v>
      </c>
      <c r="AN16" s="9"/>
      <c r="AO16" s="9"/>
      <c r="AP16" s="84">
        <v>-2</v>
      </c>
      <c r="AQ16" s="84">
        <v>18</v>
      </c>
      <c r="AR16" s="9">
        <v>20634</v>
      </c>
      <c r="AS16" s="9">
        <v>102608</v>
      </c>
      <c r="AT16" s="9"/>
      <c r="AU16" s="9"/>
      <c r="AV16" s="84">
        <v>-5133</v>
      </c>
      <c r="AW16" s="84">
        <v>-28813</v>
      </c>
      <c r="AX16" s="84">
        <v>588</v>
      </c>
      <c r="AY16" s="84">
        <v>4829</v>
      </c>
      <c r="AZ16" s="84">
        <v>1022</v>
      </c>
      <c r="BA16" s="84">
        <v>1157</v>
      </c>
      <c r="BB16" s="9"/>
      <c r="BC16" s="9"/>
      <c r="BD16" s="103">
        <v>33198</v>
      </c>
      <c r="BE16" s="103">
        <v>74701</v>
      </c>
      <c r="BF16" s="84">
        <v>78227</v>
      </c>
      <c r="BG16" s="84">
        <v>199053</v>
      </c>
      <c r="BH16" s="103">
        <v>33634</v>
      </c>
      <c r="BI16" s="103">
        <v>126428</v>
      </c>
      <c r="BJ16" s="103">
        <v>12086</v>
      </c>
      <c r="BK16" s="103">
        <v>59275</v>
      </c>
      <c r="BL16" s="103">
        <f>5066+2071</f>
        <v>7137</v>
      </c>
      <c r="BM16" s="103">
        <f>15946+14891</f>
        <v>30837</v>
      </c>
      <c r="BN16" s="73">
        <f t="shared" si="2"/>
        <v>347426.25699999998</v>
      </c>
      <c r="BO16" s="73">
        <f t="shared" si="3"/>
        <v>1031470.451</v>
      </c>
    </row>
    <row r="17" spans="1:67" x14ac:dyDescent="0.25">
      <c r="A17" s="25" t="s">
        <v>226</v>
      </c>
      <c r="B17" s="9"/>
      <c r="C17" s="9"/>
      <c r="D17" s="9"/>
      <c r="E17" s="9"/>
      <c r="F17" s="9"/>
      <c r="G17" s="9"/>
      <c r="H17" s="84">
        <v>25862</v>
      </c>
      <c r="I17" s="84">
        <v>84661</v>
      </c>
      <c r="J17" s="84">
        <v>-19577</v>
      </c>
      <c r="K17" s="84">
        <v>26795</v>
      </c>
      <c r="L17" s="84">
        <v>-20545</v>
      </c>
      <c r="M17" s="84">
        <v>-35187</v>
      </c>
      <c r="N17" s="9"/>
      <c r="O17" s="9"/>
      <c r="P17" s="84">
        <v>54</v>
      </c>
      <c r="Q17" s="84">
        <v>188</v>
      </c>
      <c r="R17" s="84">
        <v>18654</v>
      </c>
      <c r="S17" s="84">
        <v>73387</v>
      </c>
      <c r="T17" s="84">
        <v>79</v>
      </c>
      <c r="U17" s="84">
        <v>286</v>
      </c>
      <c r="V17" s="84">
        <f>-1746+33457</f>
        <v>31711</v>
      </c>
      <c r="W17" s="84">
        <f>-7255+115795</f>
        <v>108540</v>
      </c>
      <c r="X17" s="84">
        <v>59950</v>
      </c>
      <c r="Y17" s="84">
        <v>304254</v>
      </c>
      <c r="Z17" s="84">
        <v>21852</v>
      </c>
      <c r="AA17" s="84">
        <v>60893</v>
      </c>
      <c r="AB17" s="84">
        <v>61</v>
      </c>
      <c r="AC17" s="84">
        <v>65</v>
      </c>
      <c r="AD17" s="84">
        <v>19726</v>
      </c>
      <c r="AE17" s="84">
        <v>50349</v>
      </c>
      <c r="AF17" s="84">
        <v>-7448</v>
      </c>
      <c r="AG17" s="84">
        <v>-13696</v>
      </c>
      <c r="AH17" s="74"/>
      <c r="AI17" s="9"/>
      <c r="AJ17" s="9"/>
      <c r="AK17" s="9"/>
      <c r="AL17" s="9">
        <v>67707.28</v>
      </c>
      <c r="AM17" s="9">
        <v>153645.37899999999</v>
      </c>
      <c r="AN17" s="9"/>
      <c r="AO17" s="9"/>
      <c r="AP17" s="84">
        <v>-142</v>
      </c>
      <c r="AQ17" s="84">
        <v>276</v>
      </c>
      <c r="AR17" s="9">
        <v>-1898</v>
      </c>
      <c r="AS17" s="9">
        <v>-14832</v>
      </c>
      <c r="AT17" s="9"/>
      <c r="AU17" s="9"/>
      <c r="AV17" s="84">
        <v>10441</v>
      </c>
      <c r="AW17" s="84">
        <v>25084</v>
      </c>
      <c r="AX17" s="84">
        <v>12184</v>
      </c>
      <c r="AY17" s="84">
        <v>47816</v>
      </c>
      <c r="AZ17" s="84">
        <v>-811</v>
      </c>
      <c r="BA17" s="84">
        <v>50</v>
      </c>
      <c r="BB17" s="9"/>
      <c r="BC17" s="9"/>
      <c r="BD17" s="103">
        <v>138824</v>
      </c>
      <c r="BE17" s="103">
        <v>471423</v>
      </c>
      <c r="BF17" s="84">
        <v>130978</v>
      </c>
      <c r="BG17" s="84">
        <v>604202</v>
      </c>
      <c r="BH17" s="103">
        <v>61683</v>
      </c>
      <c r="BI17" s="103">
        <v>204129</v>
      </c>
      <c r="BJ17" s="103">
        <v>58403</v>
      </c>
      <c r="BK17" s="103">
        <v>202991</v>
      </c>
      <c r="BL17" s="103">
        <f>-5066+375</f>
        <v>-4691</v>
      </c>
      <c r="BM17" s="103">
        <f>-15946-3675</f>
        <v>-19621</v>
      </c>
      <c r="BN17" s="73">
        <f t="shared" si="2"/>
        <v>603057.28</v>
      </c>
      <c r="BO17" s="73">
        <f t="shared" si="3"/>
        <v>2335698.3789999997</v>
      </c>
    </row>
    <row r="18" spans="1:67" x14ac:dyDescent="0.25">
      <c r="A18" s="23"/>
      <c r="J18" s="76"/>
    </row>
    <row r="19" spans="1:67" x14ac:dyDescent="0.25">
      <c r="A19" s="24" t="s">
        <v>218</v>
      </c>
    </row>
    <row r="20" spans="1:67" x14ac:dyDescent="0.25">
      <c r="A20" s="3" t="s">
        <v>0</v>
      </c>
      <c r="B20" s="119" t="s">
        <v>1</v>
      </c>
      <c r="C20" s="120"/>
      <c r="D20" s="119" t="s">
        <v>282</v>
      </c>
      <c r="E20" s="120"/>
      <c r="F20" s="119" t="s">
        <v>2</v>
      </c>
      <c r="G20" s="120"/>
      <c r="H20" s="119" t="s">
        <v>3</v>
      </c>
      <c r="I20" s="120"/>
      <c r="J20" s="119" t="s">
        <v>4</v>
      </c>
      <c r="K20" s="120"/>
      <c r="L20" s="119" t="s">
        <v>283</v>
      </c>
      <c r="M20" s="120"/>
      <c r="N20" s="119" t="s">
        <v>6</v>
      </c>
      <c r="O20" s="120"/>
      <c r="P20" s="119" t="s">
        <v>5</v>
      </c>
      <c r="Q20" s="120"/>
      <c r="R20" s="119" t="s">
        <v>7</v>
      </c>
      <c r="S20" s="120"/>
      <c r="T20" s="119" t="s">
        <v>284</v>
      </c>
      <c r="U20" s="120"/>
      <c r="V20" s="119" t="s">
        <v>8</v>
      </c>
      <c r="W20" s="120"/>
      <c r="X20" s="119" t="s">
        <v>9</v>
      </c>
      <c r="Y20" s="120"/>
      <c r="Z20" s="119" t="s">
        <v>10</v>
      </c>
      <c r="AA20" s="120"/>
      <c r="AB20" s="119" t="s">
        <v>293</v>
      </c>
      <c r="AC20" s="120"/>
      <c r="AD20" s="119" t="s">
        <v>11</v>
      </c>
      <c r="AE20" s="120"/>
      <c r="AF20" s="119" t="s">
        <v>12</v>
      </c>
      <c r="AG20" s="120"/>
      <c r="AH20" s="119" t="s">
        <v>285</v>
      </c>
      <c r="AI20" s="120"/>
      <c r="AJ20" s="119" t="s">
        <v>290</v>
      </c>
      <c r="AK20" s="120"/>
      <c r="AL20" s="119" t="s">
        <v>13</v>
      </c>
      <c r="AM20" s="120"/>
      <c r="AN20" s="119" t="s">
        <v>286</v>
      </c>
      <c r="AO20" s="120"/>
      <c r="AP20" s="119" t="s">
        <v>287</v>
      </c>
      <c r="AQ20" s="120"/>
      <c r="AR20" s="119" t="s">
        <v>291</v>
      </c>
      <c r="AS20" s="120"/>
      <c r="AT20" s="119" t="s">
        <v>294</v>
      </c>
      <c r="AU20" s="120"/>
      <c r="AV20" s="119" t="s">
        <v>14</v>
      </c>
      <c r="AW20" s="120"/>
      <c r="AX20" s="119" t="s">
        <v>15</v>
      </c>
      <c r="AY20" s="120"/>
      <c r="AZ20" s="119" t="s">
        <v>16</v>
      </c>
      <c r="BA20" s="120"/>
      <c r="BB20" s="119" t="s">
        <v>17</v>
      </c>
      <c r="BC20" s="120"/>
      <c r="BD20" s="119" t="s">
        <v>18</v>
      </c>
      <c r="BE20" s="120"/>
      <c r="BF20" s="119" t="s">
        <v>288</v>
      </c>
      <c r="BG20" s="120"/>
      <c r="BH20" s="119" t="s">
        <v>289</v>
      </c>
      <c r="BI20" s="120"/>
      <c r="BJ20" s="119" t="s">
        <v>19</v>
      </c>
      <c r="BK20" s="120"/>
      <c r="BL20" s="119" t="s">
        <v>20</v>
      </c>
      <c r="BM20" s="120"/>
      <c r="BN20" s="121" t="s">
        <v>21</v>
      </c>
      <c r="BO20" s="122"/>
    </row>
    <row r="21" spans="1:67" ht="30" x14ac:dyDescent="0.25">
      <c r="A21" s="3"/>
      <c r="B21" s="57" t="s">
        <v>296</v>
      </c>
      <c r="C21" s="58" t="s">
        <v>297</v>
      </c>
      <c r="D21" s="57" t="s">
        <v>296</v>
      </c>
      <c r="E21" s="58" t="s">
        <v>297</v>
      </c>
      <c r="F21" s="57" t="s">
        <v>296</v>
      </c>
      <c r="G21" s="58" t="s">
        <v>297</v>
      </c>
      <c r="H21" s="57" t="s">
        <v>296</v>
      </c>
      <c r="I21" s="58" t="s">
        <v>297</v>
      </c>
      <c r="J21" s="57" t="s">
        <v>296</v>
      </c>
      <c r="K21" s="58" t="s">
        <v>297</v>
      </c>
      <c r="L21" s="57" t="s">
        <v>296</v>
      </c>
      <c r="M21" s="58" t="s">
        <v>297</v>
      </c>
      <c r="N21" s="57" t="s">
        <v>296</v>
      </c>
      <c r="O21" s="58" t="s">
        <v>297</v>
      </c>
      <c r="P21" s="57" t="s">
        <v>296</v>
      </c>
      <c r="Q21" s="58" t="s">
        <v>297</v>
      </c>
      <c r="R21" s="57" t="s">
        <v>296</v>
      </c>
      <c r="S21" s="58" t="s">
        <v>297</v>
      </c>
      <c r="T21" s="57" t="s">
        <v>296</v>
      </c>
      <c r="U21" s="58" t="s">
        <v>297</v>
      </c>
      <c r="V21" s="57" t="s">
        <v>296</v>
      </c>
      <c r="W21" s="58" t="s">
        <v>297</v>
      </c>
      <c r="X21" s="57" t="s">
        <v>296</v>
      </c>
      <c r="Y21" s="58" t="s">
        <v>297</v>
      </c>
      <c r="Z21" s="57" t="s">
        <v>296</v>
      </c>
      <c r="AA21" s="58" t="s">
        <v>297</v>
      </c>
      <c r="AB21" s="57" t="s">
        <v>296</v>
      </c>
      <c r="AC21" s="58" t="s">
        <v>297</v>
      </c>
      <c r="AD21" s="57" t="s">
        <v>296</v>
      </c>
      <c r="AE21" s="58" t="s">
        <v>297</v>
      </c>
      <c r="AF21" s="57" t="s">
        <v>296</v>
      </c>
      <c r="AG21" s="58" t="s">
        <v>297</v>
      </c>
      <c r="AH21" s="57" t="s">
        <v>296</v>
      </c>
      <c r="AI21" s="58" t="s">
        <v>297</v>
      </c>
      <c r="AJ21" s="57" t="s">
        <v>296</v>
      </c>
      <c r="AK21" s="58" t="s">
        <v>297</v>
      </c>
      <c r="AL21" s="57" t="s">
        <v>296</v>
      </c>
      <c r="AM21" s="58" t="s">
        <v>297</v>
      </c>
      <c r="AN21" s="57" t="s">
        <v>296</v>
      </c>
      <c r="AO21" s="58" t="s">
        <v>297</v>
      </c>
      <c r="AP21" s="57" t="s">
        <v>296</v>
      </c>
      <c r="AQ21" s="58" t="s">
        <v>297</v>
      </c>
      <c r="AR21" s="57" t="s">
        <v>296</v>
      </c>
      <c r="AS21" s="58" t="s">
        <v>297</v>
      </c>
      <c r="AT21" s="57" t="s">
        <v>296</v>
      </c>
      <c r="AU21" s="58" t="s">
        <v>297</v>
      </c>
      <c r="AV21" s="57" t="s">
        <v>296</v>
      </c>
      <c r="AW21" s="58" t="s">
        <v>297</v>
      </c>
      <c r="AX21" s="57" t="s">
        <v>296</v>
      </c>
      <c r="AY21" s="58" t="s">
        <v>297</v>
      </c>
      <c r="AZ21" s="57" t="s">
        <v>296</v>
      </c>
      <c r="BA21" s="58" t="s">
        <v>297</v>
      </c>
      <c r="BB21" s="57" t="s">
        <v>296</v>
      </c>
      <c r="BC21" s="58" t="s">
        <v>297</v>
      </c>
      <c r="BD21" s="57" t="s">
        <v>296</v>
      </c>
      <c r="BE21" s="58" t="s">
        <v>297</v>
      </c>
      <c r="BF21" s="57" t="s">
        <v>296</v>
      </c>
      <c r="BG21" s="58" t="s">
        <v>297</v>
      </c>
      <c r="BH21" s="57" t="s">
        <v>296</v>
      </c>
      <c r="BI21" s="58" t="s">
        <v>297</v>
      </c>
      <c r="BJ21" s="57" t="s">
        <v>296</v>
      </c>
      <c r="BK21" s="58" t="s">
        <v>297</v>
      </c>
      <c r="BL21" s="57" t="s">
        <v>296</v>
      </c>
      <c r="BM21" s="58" t="s">
        <v>297</v>
      </c>
      <c r="BN21" s="57" t="s">
        <v>296</v>
      </c>
      <c r="BO21" s="58" t="s">
        <v>297</v>
      </c>
    </row>
    <row r="22" spans="1:67" x14ac:dyDescent="0.25">
      <c r="A22" s="25" t="s">
        <v>225</v>
      </c>
      <c r="B22" s="84">
        <v>10249</v>
      </c>
      <c r="C22" s="84">
        <v>38419</v>
      </c>
      <c r="D22" s="9"/>
      <c r="E22" s="9"/>
      <c r="F22" s="9"/>
      <c r="G22" s="9"/>
      <c r="H22" s="84">
        <v>1035630</v>
      </c>
      <c r="I22" s="84">
        <v>3594825</v>
      </c>
      <c r="J22" s="84">
        <v>474091</v>
      </c>
      <c r="K22" s="84">
        <v>1535908</v>
      </c>
      <c r="L22" s="84">
        <v>680865</v>
      </c>
      <c r="M22" s="84">
        <v>2168356</v>
      </c>
      <c r="N22" s="9"/>
      <c r="O22" s="9"/>
      <c r="P22" s="84">
        <v>36820</v>
      </c>
      <c r="Q22" s="84">
        <v>107886</v>
      </c>
      <c r="R22" s="84">
        <v>332180</v>
      </c>
      <c r="S22" s="84">
        <v>1109545</v>
      </c>
      <c r="T22" s="84">
        <v>270621</v>
      </c>
      <c r="U22" s="84">
        <v>818976</v>
      </c>
      <c r="V22" s="84">
        <f>105259+777930</f>
        <v>883189</v>
      </c>
      <c r="W22" s="84">
        <f>279824+2644185</f>
        <v>2924009</v>
      </c>
      <c r="X22" s="84">
        <v>1843188</v>
      </c>
      <c r="Y22" s="84">
        <v>7223435</v>
      </c>
      <c r="Z22" s="84">
        <v>1159549</v>
      </c>
      <c r="AA22" s="84">
        <v>3705080</v>
      </c>
      <c r="AB22" s="84">
        <v>92573</v>
      </c>
      <c r="AC22" s="84">
        <v>264220</v>
      </c>
      <c r="AD22" s="84">
        <f>662+290933</f>
        <v>291595</v>
      </c>
      <c r="AE22" s="84">
        <f>9057+1057091</f>
        <v>1066148</v>
      </c>
      <c r="AF22" s="84">
        <v>182171</v>
      </c>
      <c r="AG22" s="84">
        <v>597835</v>
      </c>
      <c r="AH22" s="74"/>
      <c r="AI22" s="9"/>
      <c r="AJ22" s="9"/>
      <c r="AK22" s="9"/>
      <c r="AL22" s="9">
        <v>1253844.1290000002</v>
      </c>
      <c r="AM22" s="9">
        <v>4007723.773</v>
      </c>
      <c r="AN22" s="84">
        <v>1134</v>
      </c>
      <c r="AO22" s="84">
        <v>16928</v>
      </c>
      <c r="AP22" s="84">
        <f>4018+79530</f>
        <v>83548</v>
      </c>
      <c r="AQ22" s="84">
        <f>9096+198553</f>
        <v>207649</v>
      </c>
      <c r="AR22" s="9">
        <v>871178</v>
      </c>
      <c r="AS22" s="9">
        <v>2699243</v>
      </c>
      <c r="AT22" s="9"/>
      <c r="AU22" s="9"/>
      <c r="AV22" s="84">
        <v>528062</v>
      </c>
      <c r="AW22" s="84">
        <v>1928064</v>
      </c>
      <c r="AX22" s="84">
        <v>669060</v>
      </c>
      <c r="AY22" s="84">
        <v>1822217</v>
      </c>
      <c r="AZ22" s="84">
        <v>294906</v>
      </c>
      <c r="BA22" s="84">
        <v>1122346</v>
      </c>
      <c r="BB22" s="9"/>
      <c r="BC22" s="9"/>
      <c r="BD22" s="103">
        <v>1117395</v>
      </c>
      <c r="BE22" s="103">
        <v>3958939</v>
      </c>
      <c r="BF22" s="84">
        <v>2347568</v>
      </c>
      <c r="BG22" s="84">
        <v>9705796</v>
      </c>
      <c r="BH22" s="103">
        <v>1066663</v>
      </c>
      <c r="BI22" s="103">
        <v>3045685</v>
      </c>
      <c r="BJ22" s="103">
        <v>1302441</v>
      </c>
      <c r="BK22" s="103">
        <v>4306645</v>
      </c>
      <c r="BL22" s="103">
        <f>2061+200062</f>
        <v>202123</v>
      </c>
      <c r="BM22" s="103">
        <f>9194+833186</f>
        <v>842380</v>
      </c>
      <c r="BN22" s="73">
        <f t="shared" ref="BN22:BN25" si="4">SUM(B22+D22+F22+H22+J22+L22+N22+P22+R22+T22+V22+X22+Z22+AB22+AD22+AF22+AH22+AJ22+AL22+AN22+AP22+AR22+AT22+AV22+AX22+AZ22+BB22+BD22+BF22+BH22+BJ22+BL22)</f>
        <v>17030643.129000001</v>
      </c>
      <c r="BO22" s="73">
        <f t="shared" ref="BO22:BO25" si="5">SUM(C22+E22+G22+I22+K22+M22+O22+Q22+S22+U22+W22+Y22+AA22+AC22+AE22+AG22+AI22+AK22+AM22+AO22+AQ22+AS22+AU22+AW22+AY22+BA22+BC22+BE22+BG22+BI22+BK22+BM22)</f>
        <v>58818257.773000002</v>
      </c>
    </row>
    <row r="23" spans="1:67" x14ac:dyDescent="0.25">
      <c r="A23" s="25" t="s">
        <v>276</v>
      </c>
      <c r="B23" s="84"/>
      <c r="C23" s="84"/>
      <c r="D23" s="9"/>
      <c r="E23" s="9"/>
      <c r="F23" s="9"/>
      <c r="G23" s="9"/>
      <c r="H23" s="84"/>
      <c r="I23" s="84"/>
      <c r="J23" s="84"/>
      <c r="K23" s="84"/>
      <c r="L23" s="84"/>
      <c r="M23" s="84"/>
      <c r="N23" s="9"/>
      <c r="O23" s="9"/>
      <c r="P23" s="84"/>
      <c r="Q23" s="84"/>
      <c r="R23" s="84"/>
      <c r="S23" s="84"/>
      <c r="T23" s="84">
        <v>106537</v>
      </c>
      <c r="U23" s="84">
        <v>236445</v>
      </c>
      <c r="V23" s="84"/>
      <c r="W23" s="84"/>
      <c r="X23" s="84">
        <v>20255</v>
      </c>
      <c r="Y23" s="84">
        <v>75083</v>
      </c>
      <c r="Z23" s="84"/>
      <c r="AA23" s="84"/>
      <c r="AB23" s="84"/>
      <c r="AC23" s="84"/>
      <c r="AD23" s="84"/>
      <c r="AE23" s="84"/>
      <c r="AF23" s="84"/>
      <c r="AG23" s="84"/>
      <c r="AH23" s="74"/>
      <c r="AI23" s="9"/>
      <c r="AJ23" s="9"/>
      <c r="AK23" s="9"/>
      <c r="AL23" s="9">
        <v>195.482</v>
      </c>
      <c r="AM23" s="9">
        <v>220.202</v>
      </c>
      <c r="AN23" s="84"/>
      <c r="AO23" s="84"/>
      <c r="AP23" s="84"/>
      <c r="AQ23" s="84"/>
      <c r="AR23" s="9"/>
      <c r="AS23" s="9"/>
      <c r="AT23" s="9"/>
      <c r="AU23" s="9"/>
      <c r="AV23" s="84"/>
      <c r="AW23" s="84"/>
      <c r="AX23" s="84"/>
      <c r="AY23" s="84"/>
      <c r="AZ23" s="84"/>
      <c r="BA23" s="84"/>
      <c r="BB23" s="9"/>
      <c r="BC23" s="9"/>
      <c r="BD23" s="103">
        <v>164500</v>
      </c>
      <c r="BE23" s="103">
        <v>164500</v>
      </c>
      <c r="BF23" s="84">
        <v>1147</v>
      </c>
      <c r="BG23" s="84">
        <v>5860</v>
      </c>
      <c r="BH23" s="103">
        <v>-341</v>
      </c>
      <c r="BI23" s="103">
        <v>371</v>
      </c>
      <c r="BJ23" s="103">
        <v>0</v>
      </c>
      <c r="BK23" s="103">
        <v>0</v>
      </c>
      <c r="BL23" s="103"/>
      <c r="BM23" s="103"/>
      <c r="BN23" s="73">
        <f t="shared" si="4"/>
        <v>292293.48200000002</v>
      </c>
      <c r="BO23" s="73">
        <f t="shared" si="5"/>
        <v>482479.20199999999</v>
      </c>
    </row>
    <row r="24" spans="1:67" x14ac:dyDescent="0.25">
      <c r="A24" s="25" t="s">
        <v>277</v>
      </c>
      <c r="B24" s="84">
        <v>52549</v>
      </c>
      <c r="C24" s="84">
        <v>165372</v>
      </c>
      <c r="D24" s="9"/>
      <c r="E24" s="9"/>
      <c r="F24" s="9"/>
      <c r="G24" s="9"/>
      <c r="H24" s="84">
        <v>244650</v>
      </c>
      <c r="I24" s="84">
        <v>1257572</v>
      </c>
      <c r="J24" s="84">
        <v>22875</v>
      </c>
      <c r="K24" s="84">
        <v>74906</v>
      </c>
      <c r="L24" s="84">
        <v>378540</v>
      </c>
      <c r="M24" s="84">
        <v>1676287</v>
      </c>
      <c r="N24" s="9"/>
      <c r="O24" s="9"/>
      <c r="P24" s="84">
        <v>2223</v>
      </c>
      <c r="Q24" s="84">
        <v>6347</v>
      </c>
      <c r="R24" s="84">
        <v>19646</v>
      </c>
      <c r="S24" s="84">
        <v>65058</v>
      </c>
      <c r="T24" s="84">
        <v>171790</v>
      </c>
      <c r="U24" s="84">
        <v>235125</v>
      </c>
      <c r="V24" s="84">
        <f>-565303-139755</f>
        <v>-705058</v>
      </c>
      <c r="W24" s="84">
        <f>-1913946-318077</f>
        <v>-2232023</v>
      </c>
      <c r="X24" s="84">
        <v>92026</v>
      </c>
      <c r="Y24" s="84">
        <v>993756</v>
      </c>
      <c r="Z24" s="84">
        <v>341059</v>
      </c>
      <c r="AA24" s="84">
        <v>1148279</v>
      </c>
      <c r="AB24" s="84">
        <v>4958</v>
      </c>
      <c r="AC24" s="84">
        <v>15149</v>
      </c>
      <c r="AD24" s="84">
        <f>2919+11187</f>
        <v>14106</v>
      </c>
      <c r="AE24" s="84">
        <f>10174+40938</f>
        <v>51112</v>
      </c>
      <c r="AF24" s="84">
        <v>-312145</v>
      </c>
      <c r="AG24" s="84">
        <v>-1082603</v>
      </c>
      <c r="AH24" s="74"/>
      <c r="AI24" s="9"/>
      <c r="AJ24" s="9"/>
      <c r="AK24" s="9"/>
      <c r="AL24" s="9">
        <v>94704.226999999999</v>
      </c>
      <c r="AM24" s="9">
        <v>267224.03499999997</v>
      </c>
      <c r="AN24" s="84">
        <v>-271</v>
      </c>
      <c r="AO24" s="84">
        <v>-1819</v>
      </c>
      <c r="AP24" s="84">
        <f>541+3580</f>
        <v>4121</v>
      </c>
      <c r="AQ24" s="84">
        <f>1274+9216</f>
        <v>10490</v>
      </c>
      <c r="AR24" s="9">
        <v>820400</v>
      </c>
      <c r="AS24" s="9">
        <v>2977023</v>
      </c>
      <c r="AT24" s="9"/>
      <c r="AU24" s="9"/>
      <c r="AV24" s="84">
        <v>-171916</v>
      </c>
      <c r="AW24" s="84">
        <v>-660421</v>
      </c>
      <c r="AX24" s="84">
        <v>465908</v>
      </c>
      <c r="AY24" s="84">
        <v>1254937</v>
      </c>
      <c r="AZ24" s="84">
        <v>19934</v>
      </c>
      <c r="BA24" s="84">
        <v>75078</v>
      </c>
      <c r="BB24" s="9"/>
      <c r="BC24" s="9"/>
      <c r="BD24" s="103">
        <v>404797</v>
      </c>
      <c r="BE24" s="103">
        <v>1543268</v>
      </c>
      <c r="BF24" s="84">
        <v>95578</v>
      </c>
      <c r="BG24" s="84">
        <v>354647</v>
      </c>
      <c r="BH24" s="103">
        <v>40550</v>
      </c>
      <c r="BI24" s="103">
        <v>155904</v>
      </c>
      <c r="BJ24" s="103">
        <v>59795</v>
      </c>
      <c r="BK24" s="103">
        <v>216942</v>
      </c>
      <c r="BL24" s="103">
        <f>216268-55855</f>
        <v>160413</v>
      </c>
      <c r="BM24" s="103">
        <f>222722-31846</f>
        <v>190876</v>
      </c>
      <c r="BN24" s="73">
        <f t="shared" si="4"/>
        <v>2321232.227</v>
      </c>
      <c r="BO24" s="73">
        <f t="shared" si="5"/>
        <v>8758486.0350000001</v>
      </c>
    </row>
    <row r="25" spans="1:67" x14ac:dyDescent="0.25">
      <c r="A25" s="25" t="s">
        <v>226</v>
      </c>
      <c r="B25" s="84">
        <v>-42300</v>
      </c>
      <c r="C25" s="84">
        <v>-126953</v>
      </c>
      <c r="D25" s="9"/>
      <c r="E25" s="9"/>
      <c r="F25" s="9"/>
      <c r="G25" s="9"/>
      <c r="H25" s="84">
        <v>790980</v>
      </c>
      <c r="I25" s="84">
        <v>2337253</v>
      </c>
      <c r="J25" s="84">
        <v>451216</v>
      </c>
      <c r="K25" s="84">
        <v>1461002</v>
      </c>
      <c r="L25" s="84">
        <v>302325</v>
      </c>
      <c r="M25" s="84">
        <v>492069</v>
      </c>
      <c r="N25" s="9"/>
      <c r="O25" s="9"/>
      <c r="P25" s="84">
        <v>34597</v>
      </c>
      <c r="Q25" s="84">
        <v>101539</v>
      </c>
      <c r="R25" s="84">
        <v>312534</v>
      </c>
      <c r="S25" s="84">
        <v>1044487</v>
      </c>
      <c r="T25" s="84">
        <v>205368</v>
      </c>
      <c r="U25" s="84">
        <v>820296</v>
      </c>
      <c r="V25" s="84">
        <f>-460044+638175</f>
        <v>178131</v>
      </c>
      <c r="W25" s="84">
        <f>-1634122+2326108</f>
        <v>691986</v>
      </c>
      <c r="X25" s="84">
        <v>1771417</v>
      </c>
      <c r="Y25" s="84">
        <v>6304762</v>
      </c>
      <c r="Z25" s="84">
        <v>818490</v>
      </c>
      <c r="AA25" s="84">
        <v>2556801</v>
      </c>
      <c r="AB25" s="84">
        <v>87615</v>
      </c>
      <c r="AC25" s="84">
        <v>249071</v>
      </c>
      <c r="AD25" s="84">
        <f>-2258+279746</f>
        <v>277488</v>
      </c>
      <c r="AE25" s="84">
        <f>-1118+1016153</f>
        <v>1015035</v>
      </c>
      <c r="AF25" s="84">
        <v>-129974</v>
      </c>
      <c r="AG25" s="84">
        <v>-484768</v>
      </c>
      <c r="AH25" s="74"/>
      <c r="AI25" s="9"/>
      <c r="AJ25" s="9"/>
      <c r="AK25" s="9"/>
      <c r="AL25" s="9">
        <v>1159335.3840000003</v>
      </c>
      <c r="AM25" s="9">
        <v>3740719.94</v>
      </c>
      <c r="AN25" s="84">
        <v>863</v>
      </c>
      <c r="AO25" s="84">
        <v>15109</v>
      </c>
      <c r="AP25" s="84">
        <f>3477+75950</f>
        <v>79427</v>
      </c>
      <c r="AQ25" s="84">
        <f>7822+189338</f>
        <v>197160</v>
      </c>
      <c r="AR25" s="9">
        <v>50778</v>
      </c>
      <c r="AS25" s="9">
        <v>-277780</v>
      </c>
      <c r="AT25" s="9"/>
      <c r="AU25" s="9"/>
      <c r="AV25" s="84">
        <v>356146</v>
      </c>
      <c r="AW25" s="84">
        <v>1267643</v>
      </c>
      <c r="AX25" s="84">
        <v>203152</v>
      </c>
      <c r="AY25" s="84">
        <v>567280</v>
      </c>
      <c r="AZ25" s="84">
        <v>274972</v>
      </c>
      <c r="BA25" s="84">
        <v>1047268</v>
      </c>
      <c r="BB25" s="9"/>
      <c r="BC25" s="9"/>
      <c r="BD25" s="103">
        <v>877098</v>
      </c>
      <c r="BE25" s="103">
        <v>2580171</v>
      </c>
      <c r="BF25" s="84">
        <v>2253137</v>
      </c>
      <c r="BG25" s="84">
        <v>9357008</v>
      </c>
      <c r="BH25" s="103">
        <v>1025772</v>
      </c>
      <c r="BI25" s="103">
        <v>2890152</v>
      </c>
      <c r="BJ25" s="103">
        <v>1242646</v>
      </c>
      <c r="BK25" s="103">
        <v>4089703</v>
      </c>
      <c r="BL25" s="103">
        <f>-214207+255917</f>
        <v>41710</v>
      </c>
      <c r="BM25" s="103">
        <f>-213528+865032</f>
        <v>651504</v>
      </c>
      <c r="BN25" s="73">
        <f t="shared" si="4"/>
        <v>12622923.384</v>
      </c>
      <c r="BO25" s="73">
        <f t="shared" si="5"/>
        <v>42588517.939999998</v>
      </c>
    </row>
    <row r="26" spans="1:67" x14ac:dyDescent="0.25">
      <c r="A26" s="23"/>
    </row>
    <row r="27" spans="1:67" x14ac:dyDescent="0.25">
      <c r="A27" s="24" t="s">
        <v>219</v>
      </c>
    </row>
    <row r="28" spans="1:67" x14ac:dyDescent="0.25">
      <c r="A28" s="3" t="s">
        <v>0</v>
      </c>
      <c r="B28" s="119" t="s">
        <v>1</v>
      </c>
      <c r="C28" s="120"/>
      <c r="D28" s="119" t="s">
        <v>282</v>
      </c>
      <c r="E28" s="120"/>
      <c r="F28" s="119" t="s">
        <v>2</v>
      </c>
      <c r="G28" s="120"/>
      <c r="H28" s="119" t="s">
        <v>3</v>
      </c>
      <c r="I28" s="120"/>
      <c r="J28" s="119" t="s">
        <v>4</v>
      </c>
      <c r="K28" s="120"/>
      <c r="L28" s="119" t="s">
        <v>283</v>
      </c>
      <c r="M28" s="120"/>
      <c r="N28" s="119" t="s">
        <v>6</v>
      </c>
      <c r="O28" s="120"/>
      <c r="P28" s="119" t="s">
        <v>5</v>
      </c>
      <c r="Q28" s="120"/>
      <c r="R28" s="119" t="s">
        <v>7</v>
      </c>
      <c r="S28" s="120"/>
      <c r="T28" s="119" t="s">
        <v>284</v>
      </c>
      <c r="U28" s="120"/>
      <c r="V28" s="119" t="s">
        <v>8</v>
      </c>
      <c r="W28" s="120"/>
      <c r="X28" s="119" t="s">
        <v>9</v>
      </c>
      <c r="Y28" s="120"/>
      <c r="Z28" s="119" t="s">
        <v>10</v>
      </c>
      <c r="AA28" s="120"/>
      <c r="AB28" s="119" t="s">
        <v>293</v>
      </c>
      <c r="AC28" s="120"/>
      <c r="AD28" s="119" t="s">
        <v>11</v>
      </c>
      <c r="AE28" s="120"/>
      <c r="AF28" s="119" t="s">
        <v>12</v>
      </c>
      <c r="AG28" s="120"/>
      <c r="AH28" s="119" t="s">
        <v>285</v>
      </c>
      <c r="AI28" s="120"/>
      <c r="AJ28" s="119" t="s">
        <v>290</v>
      </c>
      <c r="AK28" s="120"/>
      <c r="AL28" s="119" t="s">
        <v>13</v>
      </c>
      <c r="AM28" s="120"/>
      <c r="AN28" s="119" t="s">
        <v>286</v>
      </c>
      <c r="AO28" s="120"/>
      <c r="AP28" s="119" t="s">
        <v>287</v>
      </c>
      <c r="AQ28" s="120"/>
      <c r="AR28" s="119" t="s">
        <v>291</v>
      </c>
      <c r="AS28" s="120"/>
      <c r="AT28" s="119" t="s">
        <v>294</v>
      </c>
      <c r="AU28" s="120"/>
      <c r="AV28" s="119" t="s">
        <v>14</v>
      </c>
      <c r="AW28" s="120"/>
      <c r="AX28" s="119" t="s">
        <v>15</v>
      </c>
      <c r="AY28" s="120"/>
      <c r="AZ28" s="119" t="s">
        <v>16</v>
      </c>
      <c r="BA28" s="120"/>
      <c r="BB28" s="119" t="s">
        <v>17</v>
      </c>
      <c r="BC28" s="120"/>
      <c r="BD28" s="119" t="s">
        <v>18</v>
      </c>
      <c r="BE28" s="120"/>
      <c r="BF28" s="119" t="s">
        <v>288</v>
      </c>
      <c r="BG28" s="120"/>
      <c r="BH28" s="119" t="s">
        <v>289</v>
      </c>
      <c r="BI28" s="120"/>
      <c r="BJ28" s="119" t="s">
        <v>19</v>
      </c>
      <c r="BK28" s="120"/>
      <c r="BL28" s="119" t="s">
        <v>20</v>
      </c>
      <c r="BM28" s="120"/>
      <c r="BN28" s="121" t="s">
        <v>21</v>
      </c>
      <c r="BO28" s="122"/>
    </row>
    <row r="29" spans="1:67" ht="30" x14ac:dyDescent="0.25">
      <c r="A29" s="3"/>
      <c r="B29" s="57" t="s">
        <v>296</v>
      </c>
      <c r="C29" s="58" t="s">
        <v>297</v>
      </c>
      <c r="D29" s="57" t="s">
        <v>296</v>
      </c>
      <c r="E29" s="58" t="s">
        <v>297</v>
      </c>
      <c r="F29" s="57" t="s">
        <v>296</v>
      </c>
      <c r="G29" s="58" t="s">
        <v>297</v>
      </c>
      <c r="H29" s="57" t="s">
        <v>296</v>
      </c>
      <c r="I29" s="58" t="s">
        <v>297</v>
      </c>
      <c r="J29" s="57" t="s">
        <v>296</v>
      </c>
      <c r="K29" s="58" t="s">
        <v>297</v>
      </c>
      <c r="L29" s="57" t="s">
        <v>296</v>
      </c>
      <c r="M29" s="58" t="s">
        <v>297</v>
      </c>
      <c r="N29" s="57" t="s">
        <v>296</v>
      </c>
      <c r="O29" s="58" t="s">
        <v>297</v>
      </c>
      <c r="P29" s="57" t="s">
        <v>296</v>
      </c>
      <c r="Q29" s="58" t="s">
        <v>297</v>
      </c>
      <c r="R29" s="57" t="s">
        <v>296</v>
      </c>
      <c r="S29" s="58" t="s">
        <v>297</v>
      </c>
      <c r="T29" s="57" t="s">
        <v>296</v>
      </c>
      <c r="U29" s="58" t="s">
        <v>297</v>
      </c>
      <c r="V29" s="57" t="s">
        <v>296</v>
      </c>
      <c r="W29" s="58" t="s">
        <v>297</v>
      </c>
      <c r="X29" s="57" t="s">
        <v>296</v>
      </c>
      <c r="Y29" s="58" t="s">
        <v>297</v>
      </c>
      <c r="Z29" s="57" t="s">
        <v>296</v>
      </c>
      <c r="AA29" s="58" t="s">
        <v>297</v>
      </c>
      <c r="AB29" s="57" t="s">
        <v>296</v>
      </c>
      <c r="AC29" s="58" t="s">
        <v>297</v>
      </c>
      <c r="AD29" s="57" t="s">
        <v>296</v>
      </c>
      <c r="AE29" s="58" t="s">
        <v>297</v>
      </c>
      <c r="AF29" s="57" t="s">
        <v>296</v>
      </c>
      <c r="AG29" s="58" t="s">
        <v>297</v>
      </c>
      <c r="AH29" s="57" t="s">
        <v>296</v>
      </c>
      <c r="AI29" s="58" t="s">
        <v>297</v>
      </c>
      <c r="AJ29" s="57" t="s">
        <v>296</v>
      </c>
      <c r="AK29" s="58" t="s">
        <v>297</v>
      </c>
      <c r="AL29" s="57" t="s">
        <v>296</v>
      </c>
      <c r="AM29" s="58" t="s">
        <v>297</v>
      </c>
      <c r="AN29" s="57" t="s">
        <v>296</v>
      </c>
      <c r="AO29" s="58" t="s">
        <v>297</v>
      </c>
      <c r="AP29" s="57" t="s">
        <v>296</v>
      </c>
      <c r="AQ29" s="58" t="s">
        <v>297</v>
      </c>
      <c r="AR29" s="57" t="s">
        <v>296</v>
      </c>
      <c r="AS29" s="58" t="s">
        <v>297</v>
      </c>
      <c r="AT29" s="57" t="s">
        <v>296</v>
      </c>
      <c r="AU29" s="58" t="s">
        <v>297</v>
      </c>
      <c r="AV29" s="57" t="s">
        <v>296</v>
      </c>
      <c r="AW29" s="58" t="s">
        <v>297</v>
      </c>
      <c r="AX29" s="57" t="s">
        <v>296</v>
      </c>
      <c r="AY29" s="58" t="s">
        <v>297</v>
      </c>
      <c r="AZ29" s="57" t="s">
        <v>296</v>
      </c>
      <c r="BA29" s="58" t="s">
        <v>297</v>
      </c>
      <c r="BB29" s="57" t="s">
        <v>296</v>
      </c>
      <c r="BC29" s="58" t="s">
        <v>297</v>
      </c>
      <c r="BD29" s="57" t="s">
        <v>296</v>
      </c>
      <c r="BE29" s="58" t="s">
        <v>297</v>
      </c>
      <c r="BF29" s="57" t="s">
        <v>296</v>
      </c>
      <c r="BG29" s="58" t="s">
        <v>297</v>
      </c>
      <c r="BH29" s="57" t="s">
        <v>296</v>
      </c>
      <c r="BI29" s="58" t="s">
        <v>297</v>
      </c>
      <c r="BJ29" s="57" t="s">
        <v>296</v>
      </c>
      <c r="BK29" s="58" t="s">
        <v>297</v>
      </c>
      <c r="BL29" s="57" t="s">
        <v>296</v>
      </c>
      <c r="BM29" s="58" t="s">
        <v>297</v>
      </c>
      <c r="BN29" s="57" t="s">
        <v>296</v>
      </c>
      <c r="BO29" s="58" t="s">
        <v>297</v>
      </c>
    </row>
    <row r="30" spans="1:67" x14ac:dyDescent="0.25">
      <c r="A30" s="25" t="s">
        <v>225</v>
      </c>
      <c r="B30" s="9"/>
      <c r="C30" s="9"/>
      <c r="D30" s="9"/>
      <c r="E30" s="9"/>
      <c r="F30" s="9"/>
      <c r="G30" s="9"/>
      <c r="H30" s="84">
        <v>28572</v>
      </c>
      <c r="I30" s="84">
        <v>155963</v>
      </c>
      <c r="J30" s="84">
        <v>6055</v>
      </c>
      <c r="K30" s="84">
        <v>29946</v>
      </c>
      <c r="L30" s="84">
        <v>5978</v>
      </c>
      <c r="M30" s="84">
        <v>26646</v>
      </c>
      <c r="N30" s="9"/>
      <c r="O30" s="9"/>
      <c r="P30" s="84">
        <v>15</v>
      </c>
      <c r="Q30" s="84">
        <v>170</v>
      </c>
      <c r="R30" s="84">
        <v>13581</v>
      </c>
      <c r="S30" s="84">
        <v>46977</v>
      </c>
      <c r="T30" s="84">
        <v>2283</v>
      </c>
      <c r="U30" s="84">
        <v>9628</v>
      </c>
      <c r="V30" s="84">
        <v>24572</v>
      </c>
      <c r="W30" s="84">
        <v>123150</v>
      </c>
      <c r="X30" s="84">
        <v>84028</v>
      </c>
      <c r="Y30" s="84">
        <v>326782</v>
      </c>
      <c r="Z30" s="84">
        <v>37949</v>
      </c>
      <c r="AA30" s="84">
        <v>132969</v>
      </c>
      <c r="AB30" s="84">
        <v>583</v>
      </c>
      <c r="AC30" s="84">
        <v>1340</v>
      </c>
      <c r="AD30" s="84">
        <v>7876</v>
      </c>
      <c r="AE30" s="84">
        <v>30208</v>
      </c>
      <c r="AF30" s="84">
        <v>2645</v>
      </c>
      <c r="AG30" s="84">
        <v>7581</v>
      </c>
      <c r="AH30" s="74"/>
      <c r="AI30" s="9"/>
      <c r="AJ30" s="9"/>
      <c r="AK30" s="9"/>
      <c r="AL30" s="9">
        <v>90683.780999999988</v>
      </c>
      <c r="AM30" s="9">
        <v>286899.48499999999</v>
      </c>
      <c r="AN30" s="9"/>
      <c r="AO30" s="9"/>
      <c r="AP30" s="84">
        <v>584</v>
      </c>
      <c r="AQ30" s="84">
        <v>1421</v>
      </c>
      <c r="AR30" s="9">
        <v>22579</v>
      </c>
      <c r="AS30" s="9">
        <v>114487</v>
      </c>
      <c r="AT30" s="9"/>
      <c r="AU30" s="9"/>
      <c r="AV30" s="84">
        <v>20849</v>
      </c>
      <c r="AW30" s="84">
        <v>77677</v>
      </c>
      <c r="AX30" s="84">
        <v>6203</v>
      </c>
      <c r="AY30" s="84">
        <v>28899</v>
      </c>
      <c r="AZ30" s="84">
        <v>3235</v>
      </c>
      <c r="BA30" s="84">
        <v>13497</v>
      </c>
      <c r="BB30" s="9"/>
      <c r="BC30" s="9"/>
      <c r="BD30" s="103">
        <v>20350</v>
      </c>
      <c r="BE30" s="103">
        <v>66711</v>
      </c>
      <c r="BF30" s="84">
        <v>222781</v>
      </c>
      <c r="BG30" s="84">
        <v>818812</v>
      </c>
      <c r="BH30" s="103">
        <v>55991</v>
      </c>
      <c r="BI30" s="103">
        <v>209127</v>
      </c>
      <c r="BJ30" s="103">
        <v>115350</v>
      </c>
      <c r="BK30" s="103">
        <v>354582</v>
      </c>
      <c r="BL30" s="103">
        <v>2647</v>
      </c>
      <c r="BM30" s="103">
        <v>7976</v>
      </c>
      <c r="BN30" s="73">
        <f t="shared" ref="BN30:BN33" si="6">SUM(B30+D30+F30+H30+J30+L30+N30+P30+R30+T30+V30+X30+Z30+AB30+AD30+AF30+AH30+AJ30+AL30+AN30+AP30+AR30+AT30+AV30+AX30+AZ30+BB30+BD30+BF30+BH30+BJ30+BL30)</f>
        <v>775389.78099999996</v>
      </c>
      <c r="BO30" s="73">
        <f t="shared" ref="BO30:BO33" si="7">SUM(C30+E30+G30+I30+K30+M30+O30+Q30+S30+U30+W30+Y30+AA30+AC30+AE30+AG30+AI30+AK30+AM30+AO30+AQ30+AS30+AU30+AW30+AY30+BA30+BC30+BE30+BG30+BI30+BK30+BM30)</f>
        <v>2871448.4849999999</v>
      </c>
    </row>
    <row r="31" spans="1:67" x14ac:dyDescent="0.25">
      <c r="A31" s="25" t="s">
        <v>276</v>
      </c>
      <c r="B31" s="9"/>
      <c r="C31" s="9"/>
      <c r="D31" s="9"/>
      <c r="E31" s="9"/>
      <c r="F31" s="9"/>
      <c r="G31" s="9"/>
      <c r="H31" s="84">
        <v>1852</v>
      </c>
      <c r="I31" s="84">
        <v>6204</v>
      </c>
      <c r="J31" s="84">
        <v>84</v>
      </c>
      <c r="K31" s="84">
        <v>746</v>
      </c>
      <c r="L31" s="84">
        <v>93</v>
      </c>
      <c r="M31" s="84">
        <v>286</v>
      </c>
      <c r="N31" s="9"/>
      <c r="O31" s="9"/>
      <c r="P31" s="84">
        <v>121</v>
      </c>
      <c r="Q31" s="84">
        <v>538</v>
      </c>
      <c r="R31" s="84">
        <v>761</v>
      </c>
      <c r="S31" s="84">
        <v>3563</v>
      </c>
      <c r="T31" s="84">
        <v>-317</v>
      </c>
      <c r="U31" s="84">
        <v>1955</v>
      </c>
      <c r="V31" s="84">
        <v>287</v>
      </c>
      <c r="W31" s="84">
        <v>5125</v>
      </c>
      <c r="X31" s="84">
        <v>8625</v>
      </c>
      <c r="Y31" s="84">
        <v>45444</v>
      </c>
      <c r="Z31" s="84">
        <v>1001</v>
      </c>
      <c r="AA31" s="84">
        <v>5245</v>
      </c>
      <c r="AB31" s="84">
        <v>32</v>
      </c>
      <c r="AC31" s="84">
        <v>104</v>
      </c>
      <c r="AD31" s="84">
        <v>120</v>
      </c>
      <c r="AE31" s="84">
        <v>290</v>
      </c>
      <c r="AF31" s="84">
        <v>193</v>
      </c>
      <c r="AG31" s="84">
        <v>1518</v>
      </c>
      <c r="AH31" s="74"/>
      <c r="AI31" s="9"/>
      <c r="AJ31" s="9"/>
      <c r="AK31" s="9"/>
      <c r="AL31" s="9">
        <v>44687.686999999998</v>
      </c>
      <c r="AM31" s="9">
        <v>81423.415999999997</v>
      </c>
      <c r="AN31" s="84">
        <v>23</v>
      </c>
      <c r="AO31" s="84">
        <v>100</v>
      </c>
      <c r="AP31" s="84">
        <v>2</v>
      </c>
      <c r="AQ31" s="84">
        <v>22</v>
      </c>
      <c r="AR31" s="9">
        <v>687</v>
      </c>
      <c r="AS31" s="9">
        <v>3157</v>
      </c>
      <c r="AT31" s="9"/>
      <c r="AU31" s="9"/>
      <c r="AV31" s="84">
        <v>690</v>
      </c>
      <c r="AW31" s="84">
        <v>4443</v>
      </c>
      <c r="AX31" s="84">
        <v>189</v>
      </c>
      <c r="AY31" s="84">
        <v>840</v>
      </c>
      <c r="AZ31" s="84">
        <v>224</v>
      </c>
      <c r="BA31" s="84">
        <v>1103</v>
      </c>
      <c r="BB31" s="9"/>
      <c r="BC31" s="9"/>
      <c r="BD31" s="103">
        <v>876</v>
      </c>
      <c r="BE31" s="103">
        <v>8258</v>
      </c>
      <c r="BF31" s="84">
        <v>33642</v>
      </c>
      <c r="BG31" s="84">
        <v>102455</v>
      </c>
      <c r="BH31" s="103">
        <v>30769</v>
      </c>
      <c r="BI31" s="103">
        <v>76258</v>
      </c>
      <c r="BJ31" s="103">
        <v>9786</v>
      </c>
      <c r="BK31" s="103">
        <v>35428</v>
      </c>
      <c r="BL31" s="103">
        <v>112</v>
      </c>
      <c r="BM31" s="103">
        <v>498</v>
      </c>
      <c r="BN31" s="73">
        <f t="shared" si="6"/>
        <v>134539.68700000001</v>
      </c>
      <c r="BO31" s="73">
        <f t="shared" si="7"/>
        <v>385003.41599999997</v>
      </c>
    </row>
    <row r="32" spans="1:67" x14ac:dyDescent="0.25">
      <c r="A32" s="25" t="s">
        <v>277</v>
      </c>
      <c r="B32" s="9"/>
      <c r="C32" s="9"/>
      <c r="D32" s="9"/>
      <c r="E32" s="9"/>
      <c r="F32" s="9"/>
      <c r="G32" s="9"/>
      <c r="H32" s="84">
        <v>84997</v>
      </c>
      <c r="I32" s="84">
        <v>313076</v>
      </c>
      <c r="J32" s="84">
        <v>18351</v>
      </c>
      <c r="K32" s="84">
        <v>50703</v>
      </c>
      <c r="L32" s="84">
        <v>35999</v>
      </c>
      <c r="M32" s="84">
        <v>55527</v>
      </c>
      <c r="N32" s="9"/>
      <c r="O32" s="9"/>
      <c r="P32" s="84">
        <v>1546</v>
      </c>
      <c r="Q32" s="84">
        <v>2124</v>
      </c>
      <c r="R32" s="84">
        <v>35653</v>
      </c>
      <c r="S32" s="84">
        <v>98372</v>
      </c>
      <c r="T32" s="84">
        <v>8580</v>
      </c>
      <c r="U32" s="84">
        <v>16343</v>
      </c>
      <c r="V32" s="84">
        <v>-67255</v>
      </c>
      <c r="W32" s="84">
        <v>-297067</v>
      </c>
      <c r="X32" s="84">
        <v>215074</v>
      </c>
      <c r="Y32" s="84">
        <v>580624</v>
      </c>
      <c r="Z32" s="84">
        <v>121536</v>
      </c>
      <c r="AA32" s="84">
        <v>256648</v>
      </c>
      <c r="AB32" s="84">
        <v>1023</v>
      </c>
      <c r="AC32" s="84">
        <v>1870</v>
      </c>
      <c r="AD32" s="84">
        <v>10722</v>
      </c>
      <c r="AE32" s="84">
        <v>41120</v>
      </c>
      <c r="AF32" s="84">
        <v>-3907</v>
      </c>
      <c r="AG32" s="84">
        <v>-12339</v>
      </c>
      <c r="AH32" s="74"/>
      <c r="AI32" s="9"/>
      <c r="AJ32" s="9"/>
      <c r="AK32" s="9"/>
      <c r="AL32" s="9">
        <v>35432.914999999994</v>
      </c>
      <c r="AM32" s="9">
        <v>130277.355</v>
      </c>
      <c r="AN32" s="84"/>
      <c r="AO32" s="84"/>
      <c r="AP32" s="84">
        <v>543</v>
      </c>
      <c r="AQ32" s="84">
        <v>1423</v>
      </c>
      <c r="AR32" s="9">
        <v>19517</v>
      </c>
      <c r="AS32" s="9">
        <v>67797</v>
      </c>
      <c r="AT32" s="9"/>
      <c r="AU32" s="9"/>
      <c r="AV32" s="84">
        <v>-44433</v>
      </c>
      <c r="AW32" s="84">
        <v>-161144</v>
      </c>
      <c r="AX32" s="84">
        <v>14036</v>
      </c>
      <c r="AY32" s="84">
        <v>76144</v>
      </c>
      <c r="AZ32" s="84">
        <v>4671</v>
      </c>
      <c r="BA32" s="84">
        <v>14653</v>
      </c>
      <c r="BB32" s="9"/>
      <c r="BC32" s="9"/>
      <c r="BD32" s="103">
        <v>48677</v>
      </c>
      <c r="BE32" s="103">
        <v>185067</v>
      </c>
      <c r="BF32" s="84">
        <v>250061</v>
      </c>
      <c r="BG32" s="84">
        <v>626001</v>
      </c>
      <c r="BH32" s="103">
        <v>27889</v>
      </c>
      <c r="BI32" s="103">
        <v>118453</v>
      </c>
      <c r="BJ32" s="103">
        <v>26295</v>
      </c>
      <c r="BK32" s="103">
        <v>130520</v>
      </c>
      <c r="BL32" s="103">
        <v>2593</v>
      </c>
      <c r="BM32" s="103">
        <v>12750</v>
      </c>
      <c r="BN32" s="73">
        <f t="shared" si="6"/>
        <v>847600.91500000004</v>
      </c>
      <c r="BO32" s="73">
        <f t="shared" si="7"/>
        <v>2308942.355</v>
      </c>
    </row>
    <row r="33" spans="1:67" x14ac:dyDescent="0.25">
      <c r="A33" s="25" t="s">
        <v>226</v>
      </c>
      <c r="B33" s="9"/>
      <c r="C33" s="9"/>
      <c r="D33" s="9"/>
      <c r="E33" s="9"/>
      <c r="F33" s="9"/>
      <c r="G33" s="9"/>
      <c r="H33" s="84">
        <v>-54573</v>
      </c>
      <c r="I33" s="84">
        <v>-150909</v>
      </c>
      <c r="J33" s="84">
        <v>-12212</v>
      </c>
      <c r="K33" s="84">
        <v>-20011</v>
      </c>
      <c r="L33" s="84">
        <v>-29928</v>
      </c>
      <c r="M33" s="84">
        <v>-28595</v>
      </c>
      <c r="N33" s="9"/>
      <c r="O33" s="9"/>
      <c r="P33" s="84">
        <v>-1410</v>
      </c>
      <c r="Q33" s="84">
        <v>-1416</v>
      </c>
      <c r="R33" s="84">
        <v>-21312</v>
      </c>
      <c r="S33" s="84">
        <v>-47832</v>
      </c>
      <c r="T33" s="84">
        <v>-6614</v>
      </c>
      <c r="U33" s="84">
        <v>-4760</v>
      </c>
      <c r="V33" s="84">
        <v>-42397</v>
      </c>
      <c r="W33" s="84">
        <v>-168792</v>
      </c>
      <c r="X33" s="84">
        <v>-122421</v>
      </c>
      <c r="Y33" s="84">
        <v>-208398</v>
      </c>
      <c r="Z33" s="84">
        <v>-82586</v>
      </c>
      <c r="AA33" s="84">
        <v>-118434</v>
      </c>
      <c r="AB33" s="84">
        <v>-408</v>
      </c>
      <c r="AC33" s="84">
        <v>-426</v>
      </c>
      <c r="AD33" s="84">
        <v>-2726</v>
      </c>
      <c r="AE33" s="84">
        <v>-10622</v>
      </c>
      <c r="AF33" s="84">
        <v>-1069</v>
      </c>
      <c r="AG33" s="84">
        <v>-3240</v>
      </c>
      <c r="AH33" s="74"/>
      <c r="AI33" s="9"/>
      <c r="AJ33" s="9"/>
      <c r="AK33" s="9"/>
      <c r="AL33" s="9">
        <v>99938.553</v>
      </c>
      <c r="AM33" s="9">
        <v>238045.54599999997</v>
      </c>
      <c r="AN33" s="84">
        <v>23</v>
      </c>
      <c r="AO33" s="84">
        <v>100</v>
      </c>
      <c r="AP33" s="84">
        <v>44</v>
      </c>
      <c r="AQ33" s="84">
        <v>20</v>
      </c>
      <c r="AR33" s="9">
        <v>3749</v>
      </c>
      <c r="AS33" s="9">
        <v>49847</v>
      </c>
      <c r="AT33" s="9"/>
      <c r="AU33" s="9"/>
      <c r="AV33" s="84">
        <v>-22894</v>
      </c>
      <c r="AW33" s="84">
        <v>-79024</v>
      </c>
      <c r="AX33" s="84">
        <v>-7644</v>
      </c>
      <c r="AY33" s="84">
        <v>-46405</v>
      </c>
      <c r="AZ33" s="84">
        <v>-1212</v>
      </c>
      <c r="BA33" s="84">
        <v>-53</v>
      </c>
      <c r="BB33" s="9"/>
      <c r="BC33" s="9"/>
      <c r="BD33" s="103">
        <v>-27451</v>
      </c>
      <c r="BE33" s="103">
        <v>-110098</v>
      </c>
      <c r="BF33" s="84">
        <v>6362</v>
      </c>
      <c r="BG33" s="84">
        <v>295265</v>
      </c>
      <c r="BH33" s="103">
        <v>58871</v>
      </c>
      <c r="BI33" s="103">
        <v>166932</v>
      </c>
      <c r="BJ33" s="103">
        <v>98841</v>
      </c>
      <c r="BK33" s="103">
        <v>259490</v>
      </c>
      <c r="BL33" s="103">
        <v>166</v>
      </c>
      <c r="BM33" s="103">
        <v>-4276</v>
      </c>
      <c r="BN33" s="73">
        <f t="shared" si="6"/>
        <v>-168862.44699999999</v>
      </c>
      <c r="BO33" s="73">
        <f t="shared" si="7"/>
        <v>6408.545999999973</v>
      </c>
    </row>
    <row r="34" spans="1:67" x14ac:dyDescent="0.25">
      <c r="A34" s="23"/>
    </row>
    <row r="35" spans="1:67" x14ac:dyDescent="0.25">
      <c r="A35" s="24" t="s">
        <v>220</v>
      </c>
    </row>
    <row r="36" spans="1:67" x14ac:dyDescent="0.25">
      <c r="A36" s="3" t="s">
        <v>0</v>
      </c>
      <c r="B36" s="119" t="s">
        <v>1</v>
      </c>
      <c r="C36" s="120"/>
      <c r="D36" s="119" t="s">
        <v>282</v>
      </c>
      <c r="E36" s="120"/>
      <c r="F36" s="119" t="s">
        <v>2</v>
      </c>
      <c r="G36" s="120"/>
      <c r="H36" s="119" t="s">
        <v>3</v>
      </c>
      <c r="I36" s="120"/>
      <c r="J36" s="119" t="s">
        <v>4</v>
      </c>
      <c r="K36" s="120"/>
      <c r="L36" s="119" t="s">
        <v>283</v>
      </c>
      <c r="M36" s="120"/>
      <c r="N36" s="119" t="s">
        <v>6</v>
      </c>
      <c r="O36" s="120"/>
      <c r="P36" s="119" t="s">
        <v>5</v>
      </c>
      <c r="Q36" s="120"/>
      <c r="R36" s="119" t="s">
        <v>7</v>
      </c>
      <c r="S36" s="120"/>
      <c r="T36" s="119" t="s">
        <v>284</v>
      </c>
      <c r="U36" s="120"/>
      <c r="V36" s="119" t="s">
        <v>8</v>
      </c>
      <c r="W36" s="120"/>
      <c r="X36" s="119" t="s">
        <v>9</v>
      </c>
      <c r="Y36" s="120"/>
      <c r="Z36" s="119" t="s">
        <v>10</v>
      </c>
      <c r="AA36" s="120"/>
      <c r="AB36" s="119" t="s">
        <v>293</v>
      </c>
      <c r="AC36" s="120"/>
      <c r="AD36" s="119" t="s">
        <v>11</v>
      </c>
      <c r="AE36" s="120"/>
      <c r="AF36" s="119" t="s">
        <v>12</v>
      </c>
      <c r="AG36" s="120"/>
      <c r="AH36" s="119" t="s">
        <v>285</v>
      </c>
      <c r="AI36" s="120"/>
      <c r="AJ36" s="119" t="s">
        <v>290</v>
      </c>
      <c r="AK36" s="120"/>
      <c r="AL36" s="119" t="s">
        <v>13</v>
      </c>
      <c r="AM36" s="120"/>
      <c r="AN36" s="119" t="s">
        <v>286</v>
      </c>
      <c r="AO36" s="120"/>
      <c r="AP36" s="119" t="s">
        <v>287</v>
      </c>
      <c r="AQ36" s="120"/>
      <c r="AR36" s="119" t="s">
        <v>291</v>
      </c>
      <c r="AS36" s="120"/>
      <c r="AT36" s="119" t="s">
        <v>294</v>
      </c>
      <c r="AU36" s="120"/>
      <c r="AV36" s="119" t="s">
        <v>14</v>
      </c>
      <c r="AW36" s="120"/>
      <c r="AX36" s="119" t="s">
        <v>15</v>
      </c>
      <c r="AY36" s="120"/>
      <c r="AZ36" s="119" t="s">
        <v>16</v>
      </c>
      <c r="BA36" s="120"/>
      <c r="BB36" s="119" t="s">
        <v>17</v>
      </c>
      <c r="BC36" s="120"/>
      <c r="BD36" s="119" t="s">
        <v>18</v>
      </c>
      <c r="BE36" s="120"/>
      <c r="BF36" s="119" t="s">
        <v>288</v>
      </c>
      <c r="BG36" s="120"/>
      <c r="BH36" s="119" t="s">
        <v>289</v>
      </c>
      <c r="BI36" s="120"/>
      <c r="BJ36" s="119" t="s">
        <v>19</v>
      </c>
      <c r="BK36" s="120"/>
      <c r="BL36" s="119" t="s">
        <v>20</v>
      </c>
      <c r="BM36" s="120"/>
      <c r="BN36" s="121" t="s">
        <v>21</v>
      </c>
      <c r="BO36" s="122"/>
    </row>
    <row r="37" spans="1:67" ht="30" x14ac:dyDescent="0.25">
      <c r="A37" s="3"/>
      <c r="B37" s="57" t="s">
        <v>296</v>
      </c>
      <c r="C37" s="58" t="s">
        <v>297</v>
      </c>
      <c r="D37" s="57" t="s">
        <v>296</v>
      </c>
      <c r="E37" s="58" t="s">
        <v>297</v>
      </c>
      <c r="F37" s="57" t="s">
        <v>296</v>
      </c>
      <c r="G37" s="58" t="s">
        <v>297</v>
      </c>
      <c r="H37" s="57" t="s">
        <v>296</v>
      </c>
      <c r="I37" s="58" t="s">
        <v>297</v>
      </c>
      <c r="J37" s="57" t="s">
        <v>296</v>
      </c>
      <c r="K37" s="58" t="s">
        <v>297</v>
      </c>
      <c r="L37" s="57" t="s">
        <v>296</v>
      </c>
      <c r="M37" s="58" t="s">
        <v>297</v>
      </c>
      <c r="N37" s="57" t="s">
        <v>296</v>
      </c>
      <c r="O37" s="58" t="s">
        <v>297</v>
      </c>
      <c r="P37" s="57" t="s">
        <v>296</v>
      </c>
      <c r="Q37" s="58" t="s">
        <v>297</v>
      </c>
      <c r="R37" s="57" t="s">
        <v>296</v>
      </c>
      <c r="S37" s="58" t="s">
        <v>297</v>
      </c>
      <c r="T37" s="57" t="s">
        <v>296</v>
      </c>
      <c r="U37" s="58" t="s">
        <v>297</v>
      </c>
      <c r="V37" s="57" t="s">
        <v>296</v>
      </c>
      <c r="W37" s="58" t="s">
        <v>297</v>
      </c>
      <c r="X37" s="57" t="s">
        <v>296</v>
      </c>
      <c r="Y37" s="58" t="s">
        <v>297</v>
      </c>
      <c r="Z37" s="57" t="s">
        <v>296</v>
      </c>
      <c r="AA37" s="58" t="s">
        <v>297</v>
      </c>
      <c r="AB37" s="57" t="s">
        <v>296</v>
      </c>
      <c r="AC37" s="58" t="s">
        <v>297</v>
      </c>
      <c r="AD37" s="57" t="s">
        <v>296</v>
      </c>
      <c r="AE37" s="58" t="s">
        <v>297</v>
      </c>
      <c r="AF37" s="57" t="s">
        <v>296</v>
      </c>
      <c r="AG37" s="58" t="s">
        <v>297</v>
      </c>
      <c r="AH37" s="57" t="s">
        <v>296</v>
      </c>
      <c r="AI37" s="58" t="s">
        <v>297</v>
      </c>
      <c r="AJ37" s="57" t="s">
        <v>296</v>
      </c>
      <c r="AK37" s="58" t="s">
        <v>297</v>
      </c>
      <c r="AL37" s="57" t="s">
        <v>296</v>
      </c>
      <c r="AM37" s="58" t="s">
        <v>297</v>
      </c>
      <c r="AN37" s="57" t="s">
        <v>296</v>
      </c>
      <c r="AO37" s="58" t="s">
        <v>297</v>
      </c>
      <c r="AP37" s="57" t="s">
        <v>296</v>
      </c>
      <c r="AQ37" s="58" t="s">
        <v>297</v>
      </c>
      <c r="AR37" s="57" t="s">
        <v>296</v>
      </c>
      <c r="AS37" s="58" t="s">
        <v>297</v>
      </c>
      <c r="AT37" s="57" t="s">
        <v>296</v>
      </c>
      <c r="AU37" s="58" t="s">
        <v>297</v>
      </c>
      <c r="AV37" s="57" t="s">
        <v>296</v>
      </c>
      <c r="AW37" s="58" t="s">
        <v>297</v>
      </c>
      <c r="AX37" s="57" t="s">
        <v>296</v>
      </c>
      <c r="AY37" s="58" t="s">
        <v>297</v>
      </c>
      <c r="AZ37" s="57" t="s">
        <v>296</v>
      </c>
      <c r="BA37" s="58" t="s">
        <v>297</v>
      </c>
      <c r="BB37" s="57" t="s">
        <v>296</v>
      </c>
      <c r="BC37" s="58" t="s">
        <v>297</v>
      </c>
      <c r="BD37" s="57" t="s">
        <v>296</v>
      </c>
      <c r="BE37" s="58" t="s">
        <v>297</v>
      </c>
      <c r="BF37" s="57" t="s">
        <v>296</v>
      </c>
      <c r="BG37" s="58" t="s">
        <v>297</v>
      </c>
      <c r="BH37" s="57" t="s">
        <v>296</v>
      </c>
      <c r="BI37" s="58" t="s">
        <v>297</v>
      </c>
      <c r="BJ37" s="57" t="s">
        <v>296</v>
      </c>
      <c r="BK37" s="58" t="s">
        <v>297</v>
      </c>
      <c r="BL37" s="57" t="s">
        <v>296</v>
      </c>
      <c r="BM37" s="58" t="s">
        <v>297</v>
      </c>
      <c r="BN37" s="57" t="s">
        <v>296</v>
      </c>
      <c r="BO37" s="58" t="s">
        <v>297</v>
      </c>
    </row>
    <row r="38" spans="1:67" x14ac:dyDescent="0.25">
      <c r="A38" s="25" t="s">
        <v>225</v>
      </c>
      <c r="B38" s="84">
        <v>18072</v>
      </c>
      <c r="C38" s="84">
        <v>38458</v>
      </c>
      <c r="D38" s="84">
        <v>497701</v>
      </c>
      <c r="E38" s="84">
        <v>1467497</v>
      </c>
      <c r="F38" s="9"/>
      <c r="G38" s="9"/>
      <c r="H38" s="84">
        <v>501773</v>
      </c>
      <c r="I38" s="84">
        <v>1685028</v>
      </c>
      <c r="J38" s="84">
        <v>96032</v>
      </c>
      <c r="K38" s="84">
        <v>375220</v>
      </c>
      <c r="L38" s="84">
        <v>138992</v>
      </c>
      <c r="M38" s="84">
        <v>489505</v>
      </c>
      <c r="N38" s="9"/>
      <c r="O38" s="9"/>
      <c r="P38" s="84">
        <v>7426</v>
      </c>
      <c r="Q38" s="84">
        <v>55745</v>
      </c>
      <c r="R38" s="84">
        <v>58789</v>
      </c>
      <c r="S38" s="84">
        <v>219570</v>
      </c>
      <c r="T38" s="84">
        <v>15465</v>
      </c>
      <c r="U38" s="84">
        <v>108382</v>
      </c>
      <c r="V38" s="84">
        <v>1460176</v>
      </c>
      <c r="W38" s="84">
        <v>4734279</v>
      </c>
      <c r="X38" s="84">
        <v>523920</v>
      </c>
      <c r="Y38" s="84">
        <v>2214315</v>
      </c>
      <c r="Z38" s="84">
        <v>208041</v>
      </c>
      <c r="AA38" s="84">
        <v>837483</v>
      </c>
      <c r="AB38" s="84">
        <v>24892</v>
      </c>
      <c r="AC38" s="84">
        <v>133050</v>
      </c>
      <c r="AD38" s="84">
        <v>57087</v>
      </c>
      <c r="AE38" s="84">
        <v>191374</v>
      </c>
      <c r="AF38" s="84">
        <v>15104</v>
      </c>
      <c r="AG38" s="84">
        <v>61318</v>
      </c>
      <c r="AH38" s="74">
        <v>273064</v>
      </c>
      <c r="AI38" s="103">
        <v>886043</v>
      </c>
      <c r="AJ38" s="84">
        <v>723518</v>
      </c>
      <c r="AK38" s="84">
        <v>2057359</v>
      </c>
      <c r="AL38" s="9">
        <v>1575854.2949999995</v>
      </c>
      <c r="AM38" s="9">
        <v>4358214.4349999996</v>
      </c>
      <c r="AN38" s="84">
        <v>9573</v>
      </c>
      <c r="AO38" s="84">
        <v>28340</v>
      </c>
      <c r="AP38" s="84">
        <v>-1166</v>
      </c>
      <c r="AQ38" s="84">
        <v>22031</v>
      </c>
      <c r="AR38" s="9">
        <v>134997</v>
      </c>
      <c r="AS38" s="9">
        <v>548409</v>
      </c>
      <c r="AT38" s="84">
        <v>975724</v>
      </c>
      <c r="AU38" s="84">
        <v>3197969</v>
      </c>
      <c r="AV38" s="84">
        <v>109959</v>
      </c>
      <c r="AW38" s="84">
        <v>402972</v>
      </c>
      <c r="AX38" s="84">
        <v>352922</v>
      </c>
      <c r="AY38" s="84">
        <v>974829</v>
      </c>
      <c r="AZ38" s="84">
        <v>3633</v>
      </c>
      <c r="BA38" s="84">
        <v>6347</v>
      </c>
      <c r="BB38" s="9"/>
      <c r="BC38" s="9"/>
      <c r="BD38" s="103">
        <v>370941</v>
      </c>
      <c r="BE38" s="103">
        <v>1260247</v>
      </c>
      <c r="BF38" s="84">
        <v>1820772</v>
      </c>
      <c r="BG38" s="84">
        <v>6777938</v>
      </c>
      <c r="BH38" s="103">
        <v>1112140</v>
      </c>
      <c r="BI38" s="103">
        <v>3868916</v>
      </c>
      <c r="BJ38" s="103">
        <v>786872</v>
      </c>
      <c r="BK38" s="103">
        <v>2948755</v>
      </c>
      <c r="BL38" s="103">
        <v>66903</v>
      </c>
      <c r="BM38" s="103">
        <v>262398</v>
      </c>
      <c r="BN38" s="73">
        <f t="shared" ref="BN38:BN41" si="8">SUM(B38+D38+F38+H38+J38+L38+N38+P38+R38+T38+V38+X38+Z38+AB38+AD38+AF38+AH38+AJ38+AL38+AN38+AP38+AR38+AT38+AV38+AX38+AZ38+BB38+BD38+BF38+BH38+BJ38+BL38)</f>
        <v>11939176.295</v>
      </c>
      <c r="BO38" s="73">
        <f t="shared" ref="BO38:BO41" si="9">SUM(C38+E38+G38+I38+K38+M38+O38+Q38+S38+U38+W38+Y38+AA38+AC38+AE38+AG38+AI38+AK38+AM38+AO38+AQ38+AS38+AU38+AW38+AY38+BA38+BC38+BE38+BG38+BI38+BK38+BM38)</f>
        <v>40211991.435000002</v>
      </c>
    </row>
    <row r="39" spans="1:67" x14ac:dyDescent="0.25">
      <c r="A39" s="25" t="s">
        <v>276</v>
      </c>
      <c r="B39" s="84"/>
      <c r="C39" s="84"/>
      <c r="D39" s="84"/>
      <c r="E39" s="84"/>
      <c r="F39" s="9"/>
      <c r="G39" s="9"/>
      <c r="H39" s="84"/>
      <c r="I39" s="84"/>
      <c r="J39" s="84"/>
      <c r="K39" s="84"/>
      <c r="L39" s="84"/>
      <c r="M39" s="84"/>
      <c r="N39" s="9"/>
      <c r="O39" s="9"/>
      <c r="P39" s="84">
        <v>1412</v>
      </c>
      <c r="Q39" s="84">
        <v>1564</v>
      </c>
      <c r="R39" s="84"/>
      <c r="S39" s="84"/>
      <c r="T39" s="84"/>
      <c r="U39" s="84"/>
      <c r="V39" s="84"/>
      <c r="W39" s="84"/>
      <c r="X39" s="84">
        <v>13548</v>
      </c>
      <c r="Y39" s="84">
        <v>117787</v>
      </c>
      <c r="Z39" s="84"/>
      <c r="AA39" s="84"/>
      <c r="AB39" s="84"/>
      <c r="AC39" s="84"/>
      <c r="AD39" s="84"/>
      <c r="AE39" s="84"/>
      <c r="AF39" s="84"/>
      <c r="AG39" s="84"/>
      <c r="AH39" s="74"/>
      <c r="AI39" s="103"/>
      <c r="AJ39" s="84"/>
      <c r="AK39" s="84"/>
      <c r="AL39" s="9">
        <v>47985.57</v>
      </c>
      <c r="AM39" s="9">
        <v>47985.57</v>
      </c>
      <c r="AN39" s="84"/>
      <c r="AO39" s="84"/>
      <c r="AP39" s="84"/>
      <c r="AQ39" s="84"/>
      <c r="AR39" s="9"/>
      <c r="AS39" s="9"/>
      <c r="AT39" s="84">
        <v>602</v>
      </c>
      <c r="AU39" s="84">
        <v>2776</v>
      </c>
      <c r="AV39" s="84"/>
      <c r="AW39" s="84"/>
      <c r="AX39" s="84"/>
      <c r="AY39" s="84">
        <v>10418</v>
      </c>
      <c r="AZ39" s="84"/>
      <c r="BA39" s="84"/>
      <c r="BB39" s="9"/>
      <c r="BC39" s="9"/>
      <c r="BD39" s="103"/>
      <c r="BE39" s="103"/>
      <c r="BF39" s="84">
        <v>45860</v>
      </c>
      <c r="BG39" s="84">
        <v>101684</v>
      </c>
      <c r="BH39" s="103">
        <v>47992</v>
      </c>
      <c r="BI39" s="103">
        <v>47057</v>
      </c>
      <c r="BJ39" s="103">
        <v>0</v>
      </c>
      <c r="BK39" s="103">
        <v>0</v>
      </c>
      <c r="BL39" s="103"/>
      <c r="BM39" s="103"/>
      <c r="BN39" s="73">
        <f t="shared" si="8"/>
        <v>157399.57</v>
      </c>
      <c r="BO39" s="73">
        <f t="shared" si="9"/>
        <v>329271.57</v>
      </c>
    </row>
    <row r="40" spans="1:67" x14ac:dyDescent="0.25">
      <c r="A40" s="25" t="s">
        <v>277</v>
      </c>
      <c r="B40" s="84">
        <v>2652</v>
      </c>
      <c r="C40" s="84">
        <v>5915</v>
      </c>
      <c r="D40" s="84">
        <v>521152</v>
      </c>
      <c r="E40" s="84">
        <v>1133407</v>
      </c>
      <c r="F40" s="9"/>
      <c r="G40" s="9"/>
      <c r="H40" s="84">
        <v>267023</v>
      </c>
      <c r="I40" s="84">
        <v>874472</v>
      </c>
      <c r="J40" s="84">
        <v>182360</v>
      </c>
      <c r="K40" s="84">
        <v>466012</v>
      </c>
      <c r="L40" s="84">
        <v>107244</v>
      </c>
      <c r="M40" s="84">
        <v>141174</v>
      </c>
      <c r="N40" s="9"/>
      <c r="O40" s="9"/>
      <c r="P40" s="84">
        <v>21131</v>
      </c>
      <c r="Q40" s="84">
        <v>32428</v>
      </c>
      <c r="R40" s="84">
        <v>49327</v>
      </c>
      <c r="S40" s="84">
        <v>177129</v>
      </c>
      <c r="T40" s="84">
        <v>2953</v>
      </c>
      <c r="U40" s="84">
        <v>49849</v>
      </c>
      <c r="V40" s="84">
        <v>-1690349</v>
      </c>
      <c r="W40" s="84">
        <v>-5016698</v>
      </c>
      <c r="X40" s="84">
        <v>489082</v>
      </c>
      <c r="Y40" s="84">
        <v>2083417</v>
      </c>
      <c r="Z40" s="84">
        <v>23681</v>
      </c>
      <c r="AA40" s="84">
        <v>148832</v>
      </c>
      <c r="AB40" s="84">
        <v>2867</v>
      </c>
      <c r="AC40" s="84">
        <v>11797</v>
      </c>
      <c r="AD40" s="84">
        <v>3479</v>
      </c>
      <c r="AE40" s="84">
        <v>12400</v>
      </c>
      <c r="AF40" s="84">
        <v>-18264</v>
      </c>
      <c r="AG40" s="84">
        <v>-52918</v>
      </c>
      <c r="AH40" s="74">
        <v>28071</v>
      </c>
      <c r="AI40" s="103">
        <v>74365</v>
      </c>
      <c r="AJ40" s="84">
        <v>478021</v>
      </c>
      <c r="AK40" s="84">
        <v>1515142</v>
      </c>
      <c r="AL40" s="9">
        <v>75185.925117539999</v>
      </c>
      <c r="AM40" s="9">
        <v>409108.86</v>
      </c>
      <c r="AN40" s="84">
        <v>-12886</v>
      </c>
      <c r="AO40" s="84">
        <v>-41796</v>
      </c>
      <c r="AP40" s="84">
        <v>73</v>
      </c>
      <c r="AQ40" s="84">
        <v>1440</v>
      </c>
      <c r="AR40" s="9">
        <v>-116780</v>
      </c>
      <c r="AS40" s="9">
        <v>300993</v>
      </c>
      <c r="AT40" s="84">
        <v>942264</v>
      </c>
      <c r="AU40" s="84">
        <v>3248495</v>
      </c>
      <c r="AV40" s="84">
        <v>-54010</v>
      </c>
      <c r="AW40" s="84">
        <v>-210032</v>
      </c>
      <c r="AX40" s="84">
        <v>31069</v>
      </c>
      <c r="AY40" s="84">
        <v>133492</v>
      </c>
      <c r="AZ40" s="84">
        <v>232</v>
      </c>
      <c r="BA40" s="84">
        <v>364</v>
      </c>
      <c r="BB40" s="9"/>
      <c r="BC40" s="9"/>
      <c r="BD40" s="103">
        <v>166738</v>
      </c>
      <c r="BE40" s="103">
        <v>367385</v>
      </c>
      <c r="BF40" s="84">
        <v>248413</v>
      </c>
      <c r="BG40" s="84">
        <v>702824</v>
      </c>
      <c r="BH40" s="103">
        <v>73779</v>
      </c>
      <c r="BI40" s="103">
        <v>327950</v>
      </c>
      <c r="BJ40" s="103">
        <v>111912</v>
      </c>
      <c r="BK40" s="103">
        <v>364324</v>
      </c>
      <c r="BL40" s="103">
        <v>3722</v>
      </c>
      <c r="BM40" s="103">
        <v>15648</v>
      </c>
      <c r="BN40" s="73">
        <f t="shared" si="8"/>
        <v>1940141.9251175399</v>
      </c>
      <c r="BO40" s="73">
        <f t="shared" si="9"/>
        <v>7276918.8599999994</v>
      </c>
    </row>
    <row r="41" spans="1:67" x14ac:dyDescent="0.25">
      <c r="A41" s="25" t="s">
        <v>226</v>
      </c>
      <c r="B41" s="84">
        <v>15420</v>
      </c>
      <c r="C41" s="84">
        <v>32543</v>
      </c>
      <c r="D41" s="84">
        <v>-23451</v>
      </c>
      <c r="E41" s="84">
        <v>334090</v>
      </c>
      <c r="F41" s="9"/>
      <c r="G41" s="9"/>
      <c r="H41" s="84">
        <v>234750</v>
      </c>
      <c r="I41" s="84">
        <v>810556</v>
      </c>
      <c r="J41" s="84">
        <v>-86328</v>
      </c>
      <c r="K41" s="84">
        <v>-90792</v>
      </c>
      <c r="L41" s="84">
        <v>31748</v>
      </c>
      <c r="M41" s="84">
        <v>348331</v>
      </c>
      <c r="N41" s="9"/>
      <c r="O41" s="9"/>
      <c r="P41" s="84">
        <v>-12293</v>
      </c>
      <c r="Q41" s="84">
        <v>24881</v>
      </c>
      <c r="R41" s="84">
        <v>9462</v>
      </c>
      <c r="S41" s="84">
        <v>42441</v>
      </c>
      <c r="T41" s="84">
        <v>12512</v>
      </c>
      <c r="U41" s="84">
        <v>58533</v>
      </c>
      <c r="V41" s="84">
        <v>-230173</v>
      </c>
      <c r="W41" s="84">
        <v>-282419</v>
      </c>
      <c r="X41" s="84">
        <v>48386</v>
      </c>
      <c r="Y41" s="84">
        <v>248685</v>
      </c>
      <c r="Z41" s="84">
        <v>184360</v>
      </c>
      <c r="AA41" s="84">
        <v>688651</v>
      </c>
      <c r="AB41" s="84">
        <v>22025</v>
      </c>
      <c r="AC41" s="84">
        <v>121253</v>
      </c>
      <c r="AD41" s="84">
        <v>53608</v>
      </c>
      <c r="AE41" s="84">
        <v>178974</v>
      </c>
      <c r="AF41" s="84">
        <v>-3160</v>
      </c>
      <c r="AG41" s="84">
        <v>8400</v>
      </c>
      <c r="AH41" s="74">
        <v>244993</v>
      </c>
      <c r="AI41" s="103">
        <v>811678</v>
      </c>
      <c r="AJ41" s="84">
        <v>245497</v>
      </c>
      <c r="AK41" s="84">
        <v>542217</v>
      </c>
      <c r="AL41" s="9">
        <v>1548653.9398824596</v>
      </c>
      <c r="AM41" s="9">
        <v>3997091.145</v>
      </c>
      <c r="AN41" s="84">
        <v>-3313</v>
      </c>
      <c r="AO41" s="84">
        <v>-13456</v>
      </c>
      <c r="AP41" s="84">
        <v>-1238</v>
      </c>
      <c r="AQ41" s="84">
        <v>20591</v>
      </c>
      <c r="AR41" s="9">
        <v>251777</v>
      </c>
      <c r="AS41" s="9">
        <v>247416</v>
      </c>
      <c r="AT41" s="84">
        <v>34062</v>
      </c>
      <c r="AU41" s="84">
        <v>-47750</v>
      </c>
      <c r="AV41" s="84">
        <v>55949</v>
      </c>
      <c r="AW41" s="84">
        <v>192940</v>
      </c>
      <c r="AX41" s="84">
        <v>321853</v>
      </c>
      <c r="AY41" s="84">
        <v>851755</v>
      </c>
      <c r="AZ41" s="84">
        <v>3402</v>
      </c>
      <c r="BA41" s="84">
        <v>5983</v>
      </c>
      <c r="BB41" s="9"/>
      <c r="BC41" s="9"/>
      <c r="BD41" s="103">
        <v>204203</v>
      </c>
      <c r="BE41" s="103">
        <v>892862</v>
      </c>
      <c r="BF41" s="84">
        <v>1618218</v>
      </c>
      <c r="BG41" s="84">
        <v>6176798</v>
      </c>
      <c r="BH41" s="103">
        <v>1086353</v>
      </c>
      <c r="BI41" s="103">
        <v>3588023</v>
      </c>
      <c r="BJ41" s="103">
        <v>674960</v>
      </c>
      <c r="BK41" s="103">
        <v>2584431</v>
      </c>
      <c r="BL41" s="103">
        <v>63181</v>
      </c>
      <c r="BM41" s="103">
        <v>246750</v>
      </c>
      <c r="BN41" s="73">
        <f t="shared" si="8"/>
        <v>6605416.9398824591</v>
      </c>
      <c r="BO41" s="73">
        <f t="shared" si="9"/>
        <v>22621456.145</v>
      </c>
    </row>
    <row r="42" spans="1:67" x14ac:dyDescent="0.25">
      <c r="A42" s="23"/>
      <c r="U42" s="76"/>
    </row>
    <row r="43" spans="1:67" x14ac:dyDescent="0.25">
      <c r="A43" s="24" t="s">
        <v>221</v>
      </c>
    </row>
    <row r="44" spans="1:67" x14ac:dyDescent="0.25">
      <c r="A44" s="3" t="s">
        <v>0</v>
      </c>
      <c r="B44" s="119" t="s">
        <v>1</v>
      </c>
      <c r="C44" s="120"/>
      <c r="D44" s="119" t="s">
        <v>282</v>
      </c>
      <c r="E44" s="120"/>
      <c r="F44" s="119" t="s">
        <v>2</v>
      </c>
      <c r="G44" s="120"/>
      <c r="H44" s="119" t="s">
        <v>3</v>
      </c>
      <c r="I44" s="120"/>
      <c r="J44" s="119" t="s">
        <v>4</v>
      </c>
      <c r="K44" s="120"/>
      <c r="L44" s="119" t="s">
        <v>283</v>
      </c>
      <c r="M44" s="120"/>
      <c r="N44" s="119" t="s">
        <v>6</v>
      </c>
      <c r="O44" s="120"/>
      <c r="P44" s="119" t="s">
        <v>5</v>
      </c>
      <c r="Q44" s="120"/>
      <c r="R44" s="119" t="s">
        <v>7</v>
      </c>
      <c r="S44" s="120"/>
      <c r="T44" s="119" t="s">
        <v>284</v>
      </c>
      <c r="U44" s="120"/>
      <c r="V44" s="119" t="s">
        <v>8</v>
      </c>
      <c r="W44" s="120"/>
      <c r="X44" s="119" t="s">
        <v>9</v>
      </c>
      <c r="Y44" s="120"/>
      <c r="Z44" s="119" t="s">
        <v>10</v>
      </c>
      <c r="AA44" s="120"/>
      <c r="AB44" s="119" t="s">
        <v>293</v>
      </c>
      <c r="AC44" s="120"/>
      <c r="AD44" s="119" t="s">
        <v>11</v>
      </c>
      <c r="AE44" s="120"/>
      <c r="AF44" s="119" t="s">
        <v>12</v>
      </c>
      <c r="AG44" s="120"/>
      <c r="AH44" s="119" t="s">
        <v>285</v>
      </c>
      <c r="AI44" s="120"/>
      <c r="AJ44" s="119" t="s">
        <v>290</v>
      </c>
      <c r="AK44" s="120"/>
      <c r="AL44" s="119" t="s">
        <v>13</v>
      </c>
      <c r="AM44" s="120"/>
      <c r="AN44" s="119" t="s">
        <v>286</v>
      </c>
      <c r="AO44" s="120"/>
      <c r="AP44" s="119" t="s">
        <v>287</v>
      </c>
      <c r="AQ44" s="120"/>
      <c r="AR44" s="119" t="s">
        <v>291</v>
      </c>
      <c r="AS44" s="120"/>
      <c r="AT44" s="119" t="s">
        <v>294</v>
      </c>
      <c r="AU44" s="120"/>
      <c r="AV44" s="119" t="s">
        <v>14</v>
      </c>
      <c r="AW44" s="120"/>
      <c r="AX44" s="119" t="s">
        <v>15</v>
      </c>
      <c r="AY44" s="120"/>
      <c r="AZ44" s="119" t="s">
        <v>16</v>
      </c>
      <c r="BA44" s="120"/>
      <c r="BB44" s="119" t="s">
        <v>17</v>
      </c>
      <c r="BC44" s="120"/>
      <c r="BD44" s="119" t="s">
        <v>18</v>
      </c>
      <c r="BE44" s="120"/>
      <c r="BF44" s="119" t="s">
        <v>288</v>
      </c>
      <c r="BG44" s="120"/>
      <c r="BH44" s="119" t="s">
        <v>289</v>
      </c>
      <c r="BI44" s="120"/>
      <c r="BJ44" s="119" t="s">
        <v>19</v>
      </c>
      <c r="BK44" s="120"/>
      <c r="BL44" s="119" t="s">
        <v>20</v>
      </c>
      <c r="BM44" s="120"/>
      <c r="BN44" s="121" t="s">
        <v>21</v>
      </c>
      <c r="BO44" s="122"/>
    </row>
    <row r="45" spans="1:67" ht="30" x14ac:dyDescent="0.25">
      <c r="A45" s="3"/>
      <c r="B45" s="57" t="s">
        <v>296</v>
      </c>
      <c r="C45" s="58" t="s">
        <v>297</v>
      </c>
      <c r="D45" s="57" t="s">
        <v>296</v>
      </c>
      <c r="E45" s="58" t="s">
        <v>297</v>
      </c>
      <c r="F45" s="57" t="s">
        <v>296</v>
      </c>
      <c r="G45" s="58" t="s">
        <v>297</v>
      </c>
      <c r="H45" s="57" t="s">
        <v>296</v>
      </c>
      <c r="I45" s="58" t="s">
        <v>297</v>
      </c>
      <c r="J45" s="57" t="s">
        <v>296</v>
      </c>
      <c r="K45" s="58" t="s">
        <v>297</v>
      </c>
      <c r="L45" s="57" t="s">
        <v>296</v>
      </c>
      <c r="M45" s="58" t="s">
        <v>297</v>
      </c>
      <c r="N45" s="57" t="s">
        <v>296</v>
      </c>
      <c r="O45" s="58" t="s">
        <v>297</v>
      </c>
      <c r="P45" s="57" t="s">
        <v>296</v>
      </c>
      <c r="Q45" s="58" t="s">
        <v>297</v>
      </c>
      <c r="R45" s="57" t="s">
        <v>296</v>
      </c>
      <c r="S45" s="58" t="s">
        <v>297</v>
      </c>
      <c r="T45" s="57" t="s">
        <v>296</v>
      </c>
      <c r="U45" s="58" t="s">
        <v>297</v>
      </c>
      <c r="V45" s="57" t="s">
        <v>296</v>
      </c>
      <c r="W45" s="58" t="s">
        <v>297</v>
      </c>
      <c r="X45" s="57" t="s">
        <v>296</v>
      </c>
      <c r="Y45" s="58" t="s">
        <v>297</v>
      </c>
      <c r="Z45" s="57" t="s">
        <v>296</v>
      </c>
      <c r="AA45" s="58" t="s">
        <v>297</v>
      </c>
      <c r="AB45" s="57" t="s">
        <v>296</v>
      </c>
      <c r="AC45" s="58" t="s">
        <v>297</v>
      </c>
      <c r="AD45" s="57" t="s">
        <v>296</v>
      </c>
      <c r="AE45" s="58" t="s">
        <v>297</v>
      </c>
      <c r="AF45" s="57" t="s">
        <v>296</v>
      </c>
      <c r="AG45" s="58" t="s">
        <v>297</v>
      </c>
      <c r="AH45" s="57" t="s">
        <v>296</v>
      </c>
      <c r="AI45" s="58" t="s">
        <v>297</v>
      </c>
      <c r="AJ45" s="57" t="s">
        <v>296</v>
      </c>
      <c r="AK45" s="58" t="s">
        <v>297</v>
      </c>
      <c r="AL45" s="57" t="s">
        <v>296</v>
      </c>
      <c r="AM45" s="58" t="s">
        <v>297</v>
      </c>
      <c r="AN45" s="57" t="s">
        <v>296</v>
      </c>
      <c r="AO45" s="58" t="s">
        <v>297</v>
      </c>
      <c r="AP45" s="57" t="s">
        <v>296</v>
      </c>
      <c r="AQ45" s="58" t="s">
        <v>297</v>
      </c>
      <c r="AR45" s="57" t="s">
        <v>296</v>
      </c>
      <c r="AS45" s="58" t="s">
        <v>297</v>
      </c>
      <c r="AT45" s="57" t="s">
        <v>296</v>
      </c>
      <c r="AU45" s="58" t="s">
        <v>297</v>
      </c>
      <c r="AV45" s="57" t="s">
        <v>296</v>
      </c>
      <c r="AW45" s="58" t="s">
        <v>297</v>
      </c>
      <c r="AX45" s="57" t="s">
        <v>296</v>
      </c>
      <c r="AY45" s="58" t="s">
        <v>297</v>
      </c>
      <c r="AZ45" s="57" t="s">
        <v>296</v>
      </c>
      <c r="BA45" s="58" t="s">
        <v>297</v>
      </c>
      <c r="BB45" s="57" t="s">
        <v>296</v>
      </c>
      <c r="BC45" s="58" t="s">
        <v>297</v>
      </c>
      <c r="BD45" s="57" t="s">
        <v>296</v>
      </c>
      <c r="BE45" s="58" t="s">
        <v>297</v>
      </c>
      <c r="BF45" s="57" t="s">
        <v>296</v>
      </c>
      <c r="BG45" s="58" t="s">
        <v>297</v>
      </c>
      <c r="BH45" s="57" t="s">
        <v>296</v>
      </c>
      <c r="BI45" s="58" t="s">
        <v>297</v>
      </c>
      <c r="BJ45" s="57" t="s">
        <v>296</v>
      </c>
      <c r="BK45" s="58" t="s">
        <v>297</v>
      </c>
      <c r="BL45" s="57" t="s">
        <v>296</v>
      </c>
      <c r="BM45" s="58" t="s">
        <v>297</v>
      </c>
      <c r="BN45" s="57" t="s">
        <v>296</v>
      </c>
      <c r="BO45" s="58" t="s">
        <v>297</v>
      </c>
    </row>
    <row r="46" spans="1:67" x14ac:dyDescent="0.25">
      <c r="A46" s="25" t="s">
        <v>225</v>
      </c>
      <c r="B46" s="84">
        <v>337</v>
      </c>
      <c r="C46" s="84">
        <v>763</v>
      </c>
      <c r="D46" s="84">
        <v>65478</v>
      </c>
      <c r="E46" s="84">
        <v>170364</v>
      </c>
      <c r="F46" s="9"/>
      <c r="G46" s="9"/>
      <c r="H46" s="84">
        <v>75337</v>
      </c>
      <c r="I46" s="84">
        <v>234933</v>
      </c>
      <c r="J46" s="84">
        <v>12869</v>
      </c>
      <c r="K46" s="84">
        <v>40118</v>
      </c>
      <c r="L46" s="84">
        <v>151897</v>
      </c>
      <c r="M46" s="84">
        <v>362857</v>
      </c>
      <c r="N46" s="9"/>
      <c r="O46" s="9"/>
      <c r="P46" s="84">
        <v>4610</v>
      </c>
      <c r="Q46" s="84">
        <v>6890</v>
      </c>
      <c r="R46" s="84">
        <v>31795</v>
      </c>
      <c r="S46" s="84">
        <v>85731</v>
      </c>
      <c r="T46" s="84">
        <v>882</v>
      </c>
      <c r="U46" s="84">
        <v>1581</v>
      </c>
      <c r="V46" s="84">
        <v>206023</v>
      </c>
      <c r="W46" s="84">
        <v>685734</v>
      </c>
      <c r="X46" s="84">
        <v>73335</v>
      </c>
      <c r="Y46" s="84">
        <v>269665</v>
      </c>
      <c r="Z46" s="84">
        <v>24407</v>
      </c>
      <c r="AA46" s="84">
        <v>110975</v>
      </c>
      <c r="AB46" s="84">
        <v>1566</v>
      </c>
      <c r="AC46" s="84">
        <v>3828</v>
      </c>
      <c r="AD46" s="84">
        <v>6913</v>
      </c>
      <c r="AE46" s="84">
        <v>20309</v>
      </c>
      <c r="AF46" s="84">
        <v>543</v>
      </c>
      <c r="AG46" s="84">
        <v>2022</v>
      </c>
      <c r="AH46" s="74">
        <v>6533</v>
      </c>
      <c r="AI46" s="103">
        <v>13370</v>
      </c>
      <c r="AJ46" s="84">
        <v>49296</v>
      </c>
      <c r="AK46" s="84">
        <v>114269</v>
      </c>
      <c r="AL46" s="9">
        <v>18516.819000000003</v>
      </c>
      <c r="AM46" s="9">
        <v>82462.217000000004</v>
      </c>
      <c r="AN46" s="84">
        <v>2822</v>
      </c>
      <c r="AO46" s="84">
        <v>7660</v>
      </c>
      <c r="AP46" s="84">
        <v>926</v>
      </c>
      <c r="AQ46" s="84">
        <v>4676</v>
      </c>
      <c r="AR46" s="9">
        <v>19940</v>
      </c>
      <c r="AS46" s="9">
        <v>46441</v>
      </c>
      <c r="AT46" s="84">
        <v>117744</v>
      </c>
      <c r="AU46" s="84">
        <v>334396</v>
      </c>
      <c r="AV46" s="84">
        <v>14911</v>
      </c>
      <c r="AW46" s="84">
        <v>68184</v>
      </c>
      <c r="AX46" s="84">
        <v>318206</v>
      </c>
      <c r="AY46" s="84">
        <v>924927</v>
      </c>
      <c r="AZ46" s="84">
        <v>2351</v>
      </c>
      <c r="BA46" s="84">
        <v>11707</v>
      </c>
      <c r="BB46" s="9"/>
      <c r="BC46" s="9"/>
      <c r="BD46" s="103">
        <v>38742</v>
      </c>
      <c r="BE46" s="103">
        <v>122609</v>
      </c>
      <c r="BF46" s="84">
        <v>92328</v>
      </c>
      <c r="BG46" s="84">
        <v>306922</v>
      </c>
      <c r="BH46" s="103">
        <v>50948</v>
      </c>
      <c r="BI46" s="103">
        <v>142276</v>
      </c>
      <c r="BJ46" s="103">
        <v>56360</v>
      </c>
      <c r="BK46" s="103">
        <v>238053</v>
      </c>
      <c r="BL46" s="103">
        <v>10530</v>
      </c>
      <c r="BM46" s="103">
        <v>70025</v>
      </c>
      <c r="BN46" s="73">
        <f t="shared" ref="BN46:BN49" si="10">SUM(B46+D46+F46+H46+J46+L46+N46+P46+R46+T46+V46+X46+Z46+AB46+AD46+AF46+AH46+AJ46+AL46+AN46+AP46+AR46+AT46+AV46+AX46+AZ46+BB46+BD46+BF46+BH46+BJ46+BL46)</f>
        <v>1456145.8190000001</v>
      </c>
      <c r="BO46" s="73">
        <f t="shared" ref="BO46:BO49" si="11">SUM(C46+E46+G46+I46+K46+M46+O46+Q46+S46+U46+W46+Y46+AA46+AC46+AE46+AG46+AI46+AK46+AM46+AO46+AQ46+AS46+AU46+AW46+AY46+BA46+BC46+BE46+BG46+BI46+BK46+BM46)</f>
        <v>4483747.2170000002</v>
      </c>
    </row>
    <row r="47" spans="1:67" x14ac:dyDescent="0.25">
      <c r="A47" s="25" t="s">
        <v>276</v>
      </c>
      <c r="B47" s="84"/>
      <c r="C47" s="84"/>
      <c r="D47" s="84"/>
      <c r="E47" s="84"/>
      <c r="F47" s="9"/>
      <c r="G47" s="9"/>
      <c r="H47" s="84"/>
      <c r="I47" s="84"/>
      <c r="J47" s="84"/>
      <c r="K47" s="84"/>
      <c r="L47" s="84"/>
      <c r="M47" s="84"/>
      <c r="N47" s="9"/>
      <c r="O47" s="9"/>
      <c r="P47" s="84"/>
      <c r="Q47" s="84">
        <v>8</v>
      </c>
      <c r="R47" s="84"/>
      <c r="S47" s="84"/>
      <c r="T47" s="84"/>
      <c r="U47" s="84"/>
      <c r="V47" s="84"/>
      <c r="W47" s="84">
        <v>3537</v>
      </c>
      <c r="X47" s="84">
        <v>7</v>
      </c>
      <c r="Y47" s="84">
        <v>132</v>
      </c>
      <c r="Z47" s="84"/>
      <c r="AA47" s="84"/>
      <c r="AB47" s="84"/>
      <c r="AC47" s="84"/>
      <c r="AD47" s="84">
        <v>7</v>
      </c>
      <c r="AE47" s="84">
        <v>7</v>
      </c>
      <c r="AF47" s="84"/>
      <c r="AG47" s="84">
        <v>-1</v>
      </c>
      <c r="AH47" s="74"/>
      <c r="AI47" s="103"/>
      <c r="AJ47" s="84"/>
      <c r="AK47" s="84"/>
      <c r="AL47" s="9">
        <v>0</v>
      </c>
      <c r="AM47" s="9">
        <v>0</v>
      </c>
      <c r="AN47" s="84"/>
      <c r="AO47" s="84"/>
      <c r="AP47" s="84"/>
      <c r="AQ47" s="84"/>
      <c r="AR47" s="9"/>
      <c r="AS47" s="9"/>
      <c r="AT47" s="84"/>
      <c r="AU47" s="84"/>
      <c r="AV47" s="84">
        <v>330</v>
      </c>
      <c r="AW47" s="84">
        <v>414</v>
      </c>
      <c r="AX47" s="84"/>
      <c r="AY47" s="84"/>
      <c r="AZ47" s="84"/>
      <c r="BA47" s="84"/>
      <c r="BB47" s="9"/>
      <c r="BC47" s="9"/>
      <c r="BD47" s="103"/>
      <c r="BE47" s="103">
        <v>661</v>
      </c>
      <c r="BF47" s="84">
        <v>5810</v>
      </c>
      <c r="BG47" s="84">
        <v>15489</v>
      </c>
      <c r="BH47" s="103">
        <v>6895</v>
      </c>
      <c r="BI47" s="103">
        <v>9411</v>
      </c>
      <c r="BJ47" s="103">
        <v>0</v>
      </c>
      <c r="BK47" s="103">
        <v>0</v>
      </c>
      <c r="BL47" s="103"/>
      <c r="BM47" s="103"/>
      <c r="BN47" s="73">
        <f t="shared" si="10"/>
        <v>13049</v>
      </c>
      <c r="BO47" s="73">
        <f t="shared" si="11"/>
        <v>29658</v>
      </c>
    </row>
    <row r="48" spans="1:67" x14ac:dyDescent="0.25">
      <c r="A48" s="25" t="s">
        <v>277</v>
      </c>
      <c r="B48" s="84">
        <v>50</v>
      </c>
      <c r="C48" s="84">
        <v>233</v>
      </c>
      <c r="D48" s="84">
        <v>4289</v>
      </c>
      <c r="E48" s="84">
        <v>9524</v>
      </c>
      <c r="F48" s="9"/>
      <c r="G48" s="9"/>
      <c r="H48" s="84">
        <v>6525</v>
      </c>
      <c r="I48" s="84">
        <v>17305</v>
      </c>
      <c r="J48" s="84">
        <v>1030</v>
      </c>
      <c r="K48" s="84">
        <v>3603</v>
      </c>
      <c r="L48" s="84">
        <v>111868</v>
      </c>
      <c r="M48" s="84">
        <v>480442</v>
      </c>
      <c r="N48" s="9"/>
      <c r="O48" s="9"/>
      <c r="P48" s="84">
        <v>5197</v>
      </c>
      <c r="Q48" s="84">
        <v>6744</v>
      </c>
      <c r="R48" s="84">
        <v>5138</v>
      </c>
      <c r="S48" s="84">
        <v>16727</v>
      </c>
      <c r="T48" s="84">
        <v>614</v>
      </c>
      <c r="U48" s="84">
        <v>1422</v>
      </c>
      <c r="V48" s="84">
        <v>-275759</v>
      </c>
      <c r="W48" s="84">
        <v>-871429</v>
      </c>
      <c r="X48" s="84">
        <v>94386</v>
      </c>
      <c r="Y48" s="84">
        <v>179568</v>
      </c>
      <c r="Z48" s="84">
        <v>3307</v>
      </c>
      <c r="AA48" s="84">
        <v>15464</v>
      </c>
      <c r="AB48" s="84">
        <v>23042</v>
      </c>
      <c r="AC48" s="84">
        <v>83386</v>
      </c>
      <c r="AD48" s="84">
        <v>440</v>
      </c>
      <c r="AE48" s="84">
        <v>1512</v>
      </c>
      <c r="AF48" s="84">
        <v>-508</v>
      </c>
      <c r="AG48" s="84">
        <v>-857</v>
      </c>
      <c r="AH48" s="74">
        <v>1727</v>
      </c>
      <c r="AI48" s="103">
        <v>3860</v>
      </c>
      <c r="AJ48" s="84">
        <v>5416</v>
      </c>
      <c r="AK48" s="84">
        <v>21679</v>
      </c>
      <c r="AL48" s="9">
        <v>32457.931832400005</v>
      </c>
      <c r="AM48" s="9">
        <v>67973.320000000007</v>
      </c>
      <c r="AN48" s="84">
        <v>-5554</v>
      </c>
      <c r="AO48" s="84">
        <v>-15123</v>
      </c>
      <c r="AP48" s="84">
        <v>856</v>
      </c>
      <c r="AQ48" s="84">
        <v>4075</v>
      </c>
      <c r="AR48" s="9">
        <v>39997</v>
      </c>
      <c r="AS48" s="9">
        <v>56365</v>
      </c>
      <c r="AT48" s="84">
        <v>8186</v>
      </c>
      <c r="AU48" s="84">
        <v>20559</v>
      </c>
      <c r="AV48" s="84">
        <v>-7781</v>
      </c>
      <c r="AW48" s="84">
        <v>-21005</v>
      </c>
      <c r="AX48" s="84">
        <v>23575</v>
      </c>
      <c r="AY48" s="84">
        <v>128572</v>
      </c>
      <c r="AZ48" s="84">
        <v>5514</v>
      </c>
      <c r="BA48" s="84">
        <v>15622</v>
      </c>
      <c r="BB48" s="9"/>
      <c r="BC48" s="9"/>
      <c r="BD48" s="103">
        <v>14380</v>
      </c>
      <c r="BE48" s="103">
        <v>23044</v>
      </c>
      <c r="BF48" s="84">
        <v>7784</v>
      </c>
      <c r="BG48" s="84">
        <v>46942</v>
      </c>
      <c r="BH48" s="103">
        <v>14387</v>
      </c>
      <c r="BI48" s="103">
        <v>60681</v>
      </c>
      <c r="BJ48" s="103">
        <v>42676</v>
      </c>
      <c r="BK48" s="103">
        <v>243690</v>
      </c>
      <c r="BL48" s="103">
        <v>32587</v>
      </c>
      <c r="BM48" s="103">
        <v>67184</v>
      </c>
      <c r="BN48" s="73">
        <f t="shared" si="10"/>
        <v>195826.93183240001</v>
      </c>
      <c r="BO48" s="73">
        <f t="shared" si="11"/>
        <v>667762.32000000007</v>
      </c>
    </row>
    <row r="49" spans="1:67" x14ac:dyDescent="0.25">
      <c r="A49" s="25" t="s">
        <v>226</v>
      </c>
      <c r="B49" s="84">
        <v>287</v>
      </c>
      <c r="C49" s="84">
        <v>530</v>
      </c>
      <c r="D49" s="84">
        <v>61189</v>
      </c>
      <c r="E49" s="84">
        <v>160840</v>
      </c>
      <c r="F49" s="9"/>
      <c r="G49" s="9"/>
      <c r="H49" s="84">
        <v>68812</v>
      </c>
      <c r="I49" s="84">
        <v>217628</v>
      </c>
      <c r="J49" s="84">
        <v>11841</v>
      </c>
      <c r="K49" s="84">
        <v>36515</v>
      </c>
      <c r="L49" s="84">
        <v>40029</v>
      </c>
      <c r="M49" s="84">
        <v>-117585</v>
      </c>
      <c r="N49" s="9"/>
      <c r="O49" s="9"/>
      <c r="P49" s="84">
        <v>-587</v>
      </c>
      <c r="Q49" s="84">
        <v>154</v>
      </c>
      <c r="R49" s="84">
        <v>26656</v>
      </c>
      <c r="S49" s="84">
        <v>69003</v>
      </c>
      <c r="T49" s="84">
        <v>268</v>
      </c>
      <c r="U49" s="84">
        <v>159</v>
      </c>
      <c r="V49" s="84">
        <v>-69736</v>
      </c>
      <c r="W49" s="84">
        <v>-182158</v>
      </c>
      <c r="X49" s="84">
        <v>-21044</v>
      </c>
      <c r="Y49" s="84">
        <v>90229</v>
      </c>
      <c r="Z49" s="84">
        <v>21100</v>
      </c>
      <c r="AA49" s="84">
        <v>95511</v>
      </c>
      <c r="AB49" s="84">
        <v>-21476</v>
      </c>
      <c r="AC49" s="84">
        <v>-79558</v>
      </c>
      <c r="AD49" s="84">
        <v>6480</v>
      </c>
      <c r="AE49" s="84">
        <v>18804</v>
      </c>
      <c r="AF49" s="84">
        <v>35</v>
      </c>
      <c r="AG49" s="84">
        <v>1164</v>
      </c>
      <c r="AH49" s="74">
        <v>4806</v>
      </c>
      <c r="AI49" s="103">
        <v>9510</v>
      </c>
      <c r="AJ49" s="84">
        <v>43880</v>
      </c>
      <c r="AK49" s="84">
        <v>92590</v>
      </c>
      <c r="AL49" s="9">
        <v>-13941.112832400002</v>
      </c>
      <c r="AM49" s="9">
        <v>14488.896999999997</v>
      </c>
      <c r="AN49" s="84">
        <v>-2732</v>
      </c>
      <c r="AO49" s="84">
        <v>-7463</v>
      </c>
      <c r="AP49" s="84">
        <v>70</v>
      </c>
      <c r="AQ49" s="84">
        <v>601</v>
      </c>
      <c r="AR49" s="9">
        <v>-20057</v>
      </c>
      <c r="AS49" s="9">
        <v>-9924</v>
      </c>
      <c r="AT49" s="84">
        <v>109558</v>
      </c>
      <c r="AU49" s="84">
        <v>313837</v>
      </c>
      <c r="AV49" s="84">
        <v>7460</v>
      </c>
      <c r="AW49" s="84">
        <v>47593</v>
      </c>
      <c r="AX49" s="84">
        <v>294631</v>
      </c>
      <c r="AY49" s="84">
        <v>796355</v>
      </c>
      <c r="AZ49" s="84">
        <v>-3163</v>
      </c>
      <c r="BA49" s="84">
        <v>-3915</v>
      </c>
      <c r="BB49" s="9"/>
      <c r="BC49" s="9"/>
      <c r="BD49" s="103">
        <v>24362</v>
      </c>
      <c r="BE49" s="103">
        <v>100226</v>
      </c>
      <c r="BF49" s="84">
        <v>90354</v>
      </c>
      <c r="BG49" s="84">
        <v>275468</v>
      </c>
      <c r="BH49" s="103">
        <v>43456</v>
      </c>
      <c r="BI49" s="103">
        <v>91006</v>
      </c>
      <c r="BJ49" s="103">
        <v>13684</v>
      </c>
      <c r="BK49" s="103">
        <v>-5637</v>
      </c>
      <c r="BL49" s="103">
        <v>-22057</v>
      </c>
      <c r="BM49" s="103">
        <v>2841</v>
      </c>
      <c r="BN49" s="73">
        <f t="shared" si="10"/>
        <v>694164.88716759998</v>
      </c>
      <c r="BO49" s="73">
        <f t="shared" si="11"/>
        <v>2028812.8969999999</v>
      </c>
    </row>
    <row r="50" spans="1:67" x14ac:dyDescent="0.25">
      <c r="A50" s="23"/>
      <c r="U50" s="76"/>
    </row>
    <row r="51" spans="1:67" x14ac:dyDescent="0.25">
      <c r="A51" s="24" t="s">
        <v>222</v>
      </c>
    </row>
    <row r="52" spans="1:67" x14ac:dyDescent="0.25">
      <c r="A52" s="3" t="s">
        <v>0</v>
      </c>
      <c r="B52" s="119" t="s">
        <v>1</v>
      </c>
      <c r="C52" s="120"/>
      <c r="D52" s="119" t="s">
        <v>282</v>
      </c>
      <c r="E52" s="120"/>
      <c r="F52" s="119" t="s">
        <v>2</v>
      </c>
      <c r="G52" s="120"/>
      <c r="H52" s="119" t="s">
        <v>3</v>
      </c>
      <c r="I52" s="120"/>
      <c r="J52" s="119" t="s">
        <v>4</v>
      </c>
      <c r="K52" s="120"/>
      <c r="L52" s="119" t="s">
        <v>283</v>
      </c>
      <c r="M52" s="120"/>
      <c r="N52" s="119" t="s">
        <v>6</v>
      </c>
      <c r="O52" s="120"/>
      <c r="P52" s="119" t="s">
        <v>5</v>
      </c>
      <c r="Q52" s="120"/>
      <c r="R52" s="119" t="s">
        <v>7</v>
      </c>
      <c r="S52" s="120"/>
      <c r="T52" s="119" t="s">
        <v>284</v>
      </c>
      <c r="U52" s="120"/>
      <c r="V52" s="119" t="s">
        <v>8</v>
      </c>
      <c r="W52" s="120"/>
      <c r="X52" s="119" t="s">
        <v>9</v>
      </c>
      <c r="Y52" s="120"/>
      <c r="Z52" s="119" t="s">
        <v>10</v>
      </c>
      <c r="AA52" s="120"/>
      <c r="AB52" s="119" t="s">
        <v>293</v>
      </c>
      <c r="AC52" s="120"/>
      <c r="AD52" s="119" t="s">
        <v>11</v>
      </c>
      <c r="AE52" s="120"/>
      <c r="AF52" s="119" t="s">
        <v>12</v>
      </c>
      <c r="AG52" s="120"/>
      <c r="AH52" s="119" t="s">
        <v>285</v>
      </c>
      <c r="AI52" s="120"/>
      <c r="AJ52" s="119" t="s">
        <v>290</v>
      </c>
      <c r="AK52" s="120"/>
      <c r="AL52" s="119" t="s">
        <v>13</v>
      </c>
      <c r="AM52" s="120"/>
      <c r="AN52" s="119" t="s">
        <v>286</v>
      </c>
      <c r="AO52" s="120"/>
      <c r="AP52" s="119" t="s">
        <v>287</v>
      </c>
      <c r="AQ52" s="120"/>
      <c r="AR52" s="119" t="s">
        <v>291</v>
      </c>
      <c r="AS52" s="120"/>
      <c r="AT52" s="119" t="s">
        <v>294</v>
      </c>
      <c r="AU52" s="120"/>
      <c r="AV52" s="119" t="s">
        <v>14</v>
      </c>
      <c r="AW52" s="120"/>
      <c r="AX52" s="119" t="s">
        <v>15</v>
      </c>
      <c r="AY52" s="120"/>
      <c r="AZ52" s="119" t="s">
        <v>16</v>
      </c>
      <c r="BA52" s="120"/>
      <c r="BB52" s="119" t="s">
        <v>17</v>
      </c>
      <c r="BC52" s="120"/>
      <c r="BD52" s="119" t="s">
        <v>18</v>
      </c>
      <c r="BE52" s="120"/>
      <c r="BF52" s="119" t="s">
        <v>288</v>
      </c>
      <c r="BG52" s="120"/>
      <c r="BH52" s="119" t="s">
        <v>289</v>
      </c>
      <c r="BI52" s="120"/>
      <c r="BJ52" s="119" t="s">
        <v>19</v>
      </c>
      <c r="BK52" s="120"/>
      <c r="BL52" s="119" t="s">
        <v>20</v>
      </c>
      <c r="BM52" s="120"/>
      <c r="BN52" s="121" t="s">
        <v>21</v>
      </c>
      <c r="BO52" s="122"/>
    </row>
    <row r="53" spans="1:67" ht="30" x14ac:dyDescent="0.25">
      <c r="A53" s="3"/>
      <c r="B53" s="57" t="s">
        <v>296</v>
      </c>
      <c r="C53" s="58" t="s">
        <v>297</v>
      </c>
      <c r="D53" s="57" t="s">
        <v>296</v>
      </c>
      <c r="E53" s="58" t="s">
        <v>297</v>
      </c>
      <c r="F53" s="57" t="s">
        <v>296</v>
      </c>
      <c r="G53" s="58" t="s">
        <v>297</v>
      </c>
      <c r="H53" s="57" t="s">
        <v>296</v>
      </c>
      <c r="I53" s="58" t="s">
        <v>297</v>
      </c>
      <c r="J53" s="57" t="s">
        <v>296</v>
      </c>
      <c r="K53" s="58" t="s">
        <v>297</v>
      </c>
      <c r="L53" s="57" t="s">
        <v>296</v>
      </c>
      <c r="M53" s="58" t="s">
        <v>297</v>
      </c>
      <c r="N53" s="57" t="s">
        <v>296</v>
      </c>
      <c r="O53" s="58" t="s">
        <v>297</v>
      </c>
      <c r="P53" s="57" t="s">
        <v>296</v>
      </c>
      <c r="Q53" s="58" t="s">
        <v>297</v>
      </c>
      <c r="R53" s="57" t="s">
        <v>296</v>
      </c>
      <c r="S53" s="58" t="s">
        <v>297</v>
      </c>
      <c r="T53" s="57" t="s">
        <v>296</v>
      </c>
      <c r="U53" s="58" t="s">
        <v>297</v>
      </c>
      <c r="V53" s="57" t="s">
        <v>296</v>
      </c>
      <c r="W53" s="58" t="s">
        <v>297</v>
      </c>
      <c r="X53" s="57" t="s">
        <v>296</v>
      </c>
      <c r="Y53" s="58" t="s">
        <v>297</v>
      </c>
      <c r="Z53" s="57" t="s">
        <v>296</v>
      </c>
      <c r="AA53" s="58" t="s">
        <v>297</v>
      </c>
      <c r="AB53" s="57" t="s">
        <v>296</v>
      </c>
      <c r="AC53" s="58" t="s">
        <v>297</v>
      </c>
      <c r="AD53" s="57" t="s">
        <v>296</v>
      </c>
      <c r="AE53" s="58" t="s">
        <v>297</v>
      </c>
      <c r="AF53" s="57" t="s">
        <v>296</v>
      </c>
      <c r="AG53" s="58" t="s">
        <v>297</v>
      </c>
      <c r="AH53" s="57" t="s">
        <v>296</v>
      </c>
      <c r="AI53" s="58" t="s">
        <v>297</v>
      </c>
      <c r="AJ53" s="57" t="s">
        <v>296</v>
      </c>
      <c r="AK53" s="58" t="s">
        <v>297</v>
      </c>
      <c r="AL53" s="57" t="s">
        <v>296</v>
      </c>
      <c r="AM53" s="58" t="s">
        <v>297</v>
      </c>
      <c r="AN53" s="57" t="s">
        <v>296</v>
      </c>
      <c r="AO53" s="58" t="s">
        <v>297</v>
      </c>
      <c r="AP53" s="57" t="s">
        <v>296</v>
      </c>
      <c r="AQ53" s="58" t="s">
        <v>297</v>
      </c>
      <c r="AR53" s="57" t="s">
        <v>296</v>
      </c>
      <c r="AS53" s="58" t="s">
        <v>297</v>
      </c>
      <c r="AT53" s="57" t="s">
        <v>296</v>
      </c>
      <c r="AU53" s="58" t="s">
        <v>297</v>
      </c>
      <c r="AV53" s="57" t="s">
        <v>296</v>
      </c>
      <c r="AW53" s="58" t="s">
        <v>297</v>
      </c>
      <c r="AX53" s="57" t="s">
        <v>296</v>
      </c>
      <c r="AY53" s="58" t="s">
        <v>297</v>
      </c>
      <c r="AZ53" s="57" t="s">
        <v>296</v>
      </c>
      <c r="BA53" s="58" t="s">
        <v>297</v>
      </c>
      <c r="BB53" s="57" t="s">
        <v>296</v>
      </c>
      <c r="BC53" s="58" t="s">
        <v>297</v>
      </c>
      <c r="BD53" s="57" t="s">
        <v>296</v>
      </c>
      <c r="BE53" s="58" t="s">
        <v>297</v>
      </c>
      <c r="BF53" s="57" t="s">
        <v>296</v>
      </c>
      <c r="BG53" s="58" t="s">
        <v>297</v>
      </c>
      <c r="BH53" s="57" t="s">
        <v>296</v>
      </c>
      <c r="BI53" s="58" t="s">
        <v>297</v>
      </c>
      <c r="BJ53" s="57" t="s">
        <v>296</v>
      </c>
      <c r="BK53" s="58" t="s">
        <v>297</v>
      </c>
      <c r="BL53" s="57" t="s">
        <v>296</v>
      </c>
      <c r="BM53" s="58" t="s">
        <v>297</v>
      </c>
      <c r="BN53" s="57" t="s">
        <v>296</v>
      </c>
      <c r="BO53" s="58" t="s">
        <v>297</v>
      </c>
    </row>
    <row r="54" spans="1:67" x14ac:dyDescent="0.25">
      <c r="A54" s="25" t="s">
        <v>225</v>
      </c>
      <c r="B54" s="9"/>
      <c r="C54" s="9"/>
      <c r="D54" s="9"/>
      <c r="E54" s="9"/>
      <c r="F54" s="9"/>
      <c r="G54" s="9"/>
      <c r="H54" s="84">
        <v>8652</v>
      </c>
      <c r="I54" s="84">
        <v>33352</v>
      </c>
      <c r="J54" s="84">
        <v>8509</v>
      </c>
      <c r="K54" s="84">
        <v>35202</v>
      </c>
      <c r="L54" s="84">
        <v>2306</v>
      </c>
      <c r="M54" s="84">
        <v>8018</v>
      </c>
      <c r="N54" s="9"/>
      <c r="O54" s="9"/>
      <c r="P54" s="9"/>
      <c r="Q54" s="9"/>
      <c r="R54" s="84">
        <v>8045</v>
      </c>
      <c r="S54" s="84">
        <v>27199</v>
      </c>
      <c r="T54" s="84">
        <v>9</v>
      </c>
      <c r="U54" s="84">
        <v>9</v>
      </c>
      <c r="V54" s="84">
        <v>462</v>
      </c>
      <c r="W54" s="84">
        <v>2111</v>
      </c>
      <c r="X54" s="84">
        <v>13030</v>
      </c>
      <c r="Y54" s="84">
        <v>41981</v>
      </c>
      <c r="Z54" s="84">
        <v>23955</v>
      </c>
      <c r="AA54" s="84">
        <v>102721</v>
      </c>
      <c r="AB54" s="9"/>
      <c r="AC54" s="9"/>
      <c r="AD54" s="84">
        <v>9040</v>
      </c>
      <c r="AE54" s="84">
        <v>21670</v>
      </c>
      <c r="AF54" s="84">
        <v>3</v>
      </c>
      <c r="AG54" s="84">
        <v>52</v>
      </c>
      <c r="AH54" s="74"/>
      <c r="AI54" s="9"/>
      <c r="AJ54" s="9"/>
      <c r="AK54" s="9"/>
      <c r="AL54" s="9">
        <v>32066.240340000004</v>
      </c>
      <c r="AM54" s="9">
        <v>88328.244359999997</v>
      </c>
      <c r="AN54" s="9"/>
      <c r="AO54" s="9"/>
      <c r="AP54" s="84">
        <v>1636</v>
      </c>
      <c r="AQ54" s="84">
        <v>6025</v>
      </c>
      <c r="AR54" s="9">
        <v>7787</v>
      </c>
      <c r="AS54" s="9">
        <v>31190</v>
      </c>
      <c r="AT54" s="9"/>
      <c r="AU54" s="9"/>
      <c r="AV54" s="84">
        <v>1219</v>
      </c>
      <c r="AW54" s="84">
        <v>4877</v>
      </c>
      <c r="AX54" s="84">
        <v>11576</v>
      </c>
      <c r="AY54" s="84">
        <v>43856</v>
      </c>
      <c r="AZ54" s="84">
        <v>40</v>
      </c>
      <c r="BA54" s="84">
        <v>501</v>
      </c>
      <c r="BB54" s="9"/>
      <c r="BC54" s="9"/>
      <c r="BD54" s="103">
        <v>79401</v>
      </c>
      <c r="BE54" s="103">
        <v>424197</v>
      </c>
      <c r="BF54" s="84">
        <v>221619</v>
      </c>
      <c r="BG54" s="84">
        <v>877818</v>
      </c>
      <c r="BH54" s="103">
        <v>24200</v>
      </c>
      <c r="BI54" s="103">
        <v>77911</v>
      </c>
      <c r="BJ54" s="103">
        <v>45020</v>
      </c>
      <c r="BK54" s="103">
        <v>131533</v>
      </c>
      <c r="BL54" s="103">
        <v>844</v>
      </c>
      <c r="BM54" s="103">
        <v>3963</v>
      </c>
      <c r="BN54" s="73">
        <f t="shared" ref="BN54:BN57" si="12">SUM(B54+D54+F54+H54+J54+L54+N54+P54+R54+T54+V54+X54+Z54+AB54+AD54+AF54+AH54+AJ54+AL54+AN54+AP54+AR54+AT54+AV54+AX54+AZ54+BB54+BD54+BF54+BH54+BJ54+BL54)</f>
        <v>499419.24034000002</v>
      </c>
      <c r="BO54" s="73">
        <f t="shared" ref="BO54:BO57" si="13">SUM(C54+E54+G54+I54+K54+M54+O54+Q54+S54+U54+W54+Y54+AA54+AC54+AE54+AG54+AI54+AK54+AM54+AO54+AQ54+AS54+AU54+AW54+AY54+BA54+BC54+BE54+BG54+BI54+BK54+BM54)</f>
        <v>1962514.2443599999</v>
      </c>
    </row>
    <row r="55" spans="1:67" x14ac:dyDescent="0.25">
      <c r="A55" s="25" t="s">
        <v>276</v>
      </c>
      <c r="B55" s="9"/>
      <c r="C55" s="9"/>
      <c r="D55" s="9"/>
      <c r="E55" s="9"/>
      <c r="F55" s="9"/>
      <c r="G55" s="9"/>
      <c r="H55" s="84"/>
      <c r="I55" s="84"/>
      <c r="J55" s="84">
        <v>240</v>
      </c>
      <c r="K55" s="84">
        <v>1218</v>
      </c>
      <c r="L55" s="84"/>
      <c r="M55" s="84"/>
      <c r="N55" s="9"/>
      <c r="O55" s="9"/>
      <c r="P55" s="9"/>
      <c r="Q55" s="9"/>
      <c r="R55" s="84">
        <v>-35</v>
      </c>
      <c r="S55" s="84">
        <v>4423</v>
      </c>
      <c r="T55" s="84"/>
      <c r="U55" s="84"/>
      <c r="V55" s="84"/>
      <c r="W55" s="84">
        <v>134</v>
      </c>
      <c r="X55" s="84"/>
      <c r="Y55" s="84">
        <v>3398</v>
      </c>
      <c r="Z55" s="84">
        <v>74</v>
      </c>
      <c r="AA55" s="84">
        <v>139</v>
      </c>
      <c r="AB55" s="9"/>
      <c r="AC55" s="9"/>
      <c r="AD55" s="84">
        <v>-32</v>
      </c>
      <c r="AE55" s="84">
        <v>476</v>
      </c>
      <c r="AF55" s="84"/>
      <c r="AG55" s="84"/>
      <c r="AH55" s="74"/>
      <c r="AI55" s="9"/>
      <c r="AJ55" s="9"/>
      <c r="AK55" s="9"/>
      <c r="AL55" s="9">
        <v>0</v>
      </c>
      <c r="AM55" s="9">
        <v>0</v>
      </c>
      <c r="AN55" s="9"/>
      <c r="AO55" s="9"/>
      <c r="AP55" s="84">
        <v>1729</v>
      </c>
      <c r="AQ55" s="84">
        <v>2823</v>
      </c>
      <c r="AR55" s="9"/>
      <c r="AS55" s="9">
        <v>359</v>
      </c>
      <c r="AT55" s="9"/>
      <c r="AU55" s="9"/>
      <c r="AV55" s="84"/>
      <c r="AW55" s="84"/>
      <c r="AX55" s="84">
        <v>2907</v>
      </c>
      <c r="AY55" s="84">
        <v>6198</v>
      </c>
      <c r="AZ55" s="84"/>
      <c r="BA55" s="84"/>
      <c r="BB55" s="9"/>
      <c r="BC55" s="9"/>
      <c r="BD55" s="103">
        <v>7192</v>
      </c>
      <c r="BE55" s="103">
        <v>74816</v>
      </c>
      <c r="BF55" s="84">
        <v>61</v>
      </c>
      <c r="BG55" s="84">
        <v>2573</v>
      </c>
      <c r="BH55" s="103">
        <v>17</v>
      </c>
      <c r="BI55" s="103">
        <v>402</v>
      </c>
      <c r="BJ55" s="103">
        <v>11</v>
      </c>
      <c r="BK55" s="103">
        <v>126</v>
      </c>
      <c r="BL55" s="103"/>
      <c r="BM55" s="103"/>
      <c r="BN55" s="73">
        <f t="shared" si="12"/>
        <v>12164</v>
      </c>
      <c r="BO55" s="73">
        <f t="shared" si="13"/>
        <v>97085</v>
      </c>
    </row>
    <row r="56" spans="1:67" x14ac:dyDescent="0.25">
      <c r="A56" s="25" t="s">
        <v>277</v>
      </c>
      <c r="B56" s="84">
        <v>2670</v>
      </c>
      <c r="C56" s="84">
        <v>10714</v>
      </c>
      <c r="D56" s="9"/>
      <c r="E56" s="9"/>
      <c r="F56" s="9"/>
      <c r="G56" s="9"/>
      <c r="H56" s="84">
        <v>7438</v>
      </c>
      <c r="I56" s="84">
        <v>26455</v>
      </c>
      <c r="J56" s="84">
        <v>10146</v>
      </c>
      <c r="K56" s="84">
        <v>22390</v>
      </c>
      <c r="L56" s="84">
        <v>2107</v>
      </c>
      <c r="M56" s="84">
        <v>4440</v>
      </c>
      <c r="N56" s="9"/>
      <c r="O56" s="9"/>
      <c r="P56" s="9"/>
      <c r="Q56" s="9"/>
      <c r="R56" s="84">
        <v>5752</v>
      </c>
      <c r="S56" s="84">
        <v>25571</v>
      </c>
      <c r="T56" s="84">
        <v>14</v>
      </c>
      <c r="U56" s="84">
        <v>14</v>
      </c>
      <c r="V56" s="84">
        <v>-1170</v>
      </c>
      <c r="W56" s="84">
        <v>-3102</v>
      </c>
      <c r="X56" s="84">
        <v>15008</v>
      </c>
      <c r="Y56" s="84">
        <v>16537</v>
      </c>
      <c r="Z56" s="84">
        <v>5117</v>
      </c>
      <c r="AA56" s="84">
        <v>21045</v>
      </c>
      <c r="AB56" s="9"/>
      <c r="AC56" s="9"/>
      <c r="AD56" s="84">
        <v>5795</v>
      </c>
      <c r="AE56" s="84">
        <v>7675</v>
      </c>
      <c r="AF56" s="84">
        <v>-16</v>
      </c>
      <c r="AG56" s="84">
        <v>-77</v>
      </c>
      <c r="AH56" s="74"/>
      <c r="AI56" s="9"/>
      <c r="AJ56" s="9"/>
      <c r="AK56" s="9"/>
      <c r="AL56" s="9">
        <v>3097.705465</v>
      </c>
      <c r="AM56" s="9">
        <v>5651.6310000000003</v>
      </c>
      <c r="AN56" s="9"/>
      <c r="AO56" s="9"/>
      <c r="AP56" s="84">
        <v>82</v>
      </c>
      <c r="AQ56" s="84">
        <v>519</v>
      </c>
      <c r="AR56" s="9">
        <v>2158</v>
      </c>
      <c r="AS56" s="9">
        <v>16814</v>
      </c>
      <c r="AT56" s="9"/>
      <c r="AU56" s="9"/>
      <c r="AV56" s="84">
        <v>-780</v>
      </c>
      <c r="AW56" s="84">
        <v>-7697</v>
      </c>
      <c r="AX56" s="84">
        <v>17659</v>
      </c>
      <c r="AY56" s="84">
        <v>83593</v>
      </c>
      <c r="AZ56" s="84">
        <v>5</v>
      </c>
      <c r="BA56" s="84">
        <v>36</v>
      </c>
      <c r="BB56" s="9"/>
      <c r="BC56" s="9"/>
      <c r="BD56" s="103">
        <v>126134</v>
      </c>
      <c r="BE56" s="103">
        <v>703417</v>
      </c>
      <c r="BF56" s="84">
        <v>-30009</v>
      </c>
      <c r="BG56" s="84">
        <v>107023</v>
      </c>
      <c r="BH56" s="103">
        <v>9903</v>
      </c>
      <c r="BI56" s="103">
        <v>44910</v>
      </c>
      <c r="BJ56" s="103">
        <v>3820</v>
      </c>
      <c r="BK56" s="103">
        <v>11223</v>
      </c>
      <c r="BL56" s="103">
        <v>137</v>
      </c>
      <c r="BM56" s="103">
        <v>1474</v>
      </c>
      <c r="BN56" s="73">
        <f t="shared" si="12"/>
        <v>185067.70546500001</v>
      </c>
      <c r="BO56" s="73">
        <f t="shared" si="13"/>
        <v>1098625.6310000001</v>
      </c>
    </row>
    <row r="57" spans="1:67" x14ac:dyDescent="0.25">
      <c r="A57" s="25" t="s">
        <v>226</v>
      </c>
      <c r="B57" s="84">
        <v>-2670</v>
      </c>
      <c r="C57" s="84">
        <v>-10714</v>
      </c>
      <c r="D57" s="9"/>
      <c r="E57" s="9"/>
      <c r="F57" s="9"/>
      <c r="G57" s="9"/>
      <c r="H57" s="84">
        <v>1214</v>
      </c>
      <c r="I57" s="84">
        <v>6897</v>
      </c>
      <c r="J57" s="84">
        <v>-1397</v>
      </c>
      <c r="K57" s="84">
        <v>14030</v>
      </c>
      <c r="L57" s="84">
        <v>199</v>
      </c>
      <c r="M57" s="84">
        <v>3578</v>
      </c>
      <c r="N57" s="9"/>
      <c r="O57" s="9"/>
      <c r="P57" s="9"/>
      <c r="Q57" s="9"/>
      <c r="R57" s="84">
        <v>2258</v>
      </c>
      <c r="S57" s="84">
        <v>6051</v>
      </c>
      <c r="T57" s="84">
        <v>-5</v>
      </c>
      <c r="U57" s="84">
        <v>-5</v>
      </c>
      <c r="V57" s="84">
        <v>-709</v>
      </c>
      <c r="W57" s="84">
        <v>-857</v>
      </c>
      <c r="X57" s="84">
        <v>-1978</v>
      </c>
      <c r="Y57" s="84">
        <v>28842</v>
      </c>
      <c r="Z57" s="84">
        <v>18912</v>
      </c>
      <c r="AA57" s="84">
        <v>81815</v>
      </c>
      <c r="AB57" s="9"/>
      <c r="AC57" s="9"/>
      <c r="AD57" s="84">
        <v>3213</v>
      </c>
      <c r="AE57" s="84">
        <v>14471</v>
      </c>
      <c r="AF57" s="84">
        <v>-13</v>
      </c>
      <c r="AG57" s="84">
        <v>-25</v>
      </c>
      <c r="AH57" s="74"/>
      <c r="AI57" s="9"/>
      <c r="AJ57" s="9"/>
      <c r="AK57" s="9"/>
      <c r="AL57" s="9">
        <v>28968.534875000005</v>
      </c>
      <c r="AM57" s="9">
        <v>82676.613360000003</v>
      </c>
      <c r="AN57" s="9"/>
      <c r="AO57" s="9"/>
      <c r="AP57" s="84">
        <v>3283</v>
      </c>
      <c r="AQ57" s="84">
        <v>8330</v>
      </c>
      <c r="AR57" s="9">
        <v>2659</v>
      </c>
      <c r="AS57" s="9">
        <v>14735</v>
      </c>
      <c r="AT57" s="9"/>
      <c r="AU57" s="9"/>
      <c r="AV57" s="84">
        <v>439</v>
      </c>
      <c r="AW57" s="84">
        <v>-2820</v>
      </c>
      <c r="AX57" s="84">
        <v>-3176</v>
      </c>
      <c r="AY57" s="84">
        <v>-33539</v>
      </c>
      <c r="AZ57" s="84">
        <v>36</v>
      </c>
      <c r="BA57" s="84">
        <v>465</v>
      </c>
      <c r="BB57" s="9"/>
      <c r="BC57" s="9"/>
      <c r="BD57" s="103">
        <v>-39541</v>
      </c>
      <c r="BE57" s="103">
        <v>-204404</v>
      </c>
      <c r="BF57" s="84">
        <v>251689</v>
      </c>
      <c r="BG57" s="84">
        <v>773368</v>
      </c>
      <c r="BH57" s="103">
        <v>14314</v>
      </c>
      <c r="BI57" s="103">
        <v>33403</v>
      </c>
      <c r="BJ57" s="103">
        <v>41211</v>
      </c>
      <c r="BK57" s="103">
        <v>120436</v>
      </c>
      <c r="BL57" s="103">
        <v>707</v>
      </c>
      <c r="BM57" s="103">
        <v>2489</v>
      </c>
      <c r="BN57" s="73">
        <f t="shared" si="12"/>
        <v>319613.53487500001</v>
      </c>
      <c r="BO57" s="73">
        <f t="shared" si="13"/>
        <v>939222.61336000008</v>
      </c>
    </row>
    <row r="58" spans="1:67" x14ac:dyDescent="0.25">
      <c r="A58" s="26"/>
    </row>
    <row r="59" spans="1:67" x14ac:dyDescent="0.25">
      <c r="A59" s="27" t="s">
        <v>223</v>
      </c>
    </row>
    <row r="60" spans="1:67" x14ac:dyDescent="0.25">
      <c r="A60" s="3" t="s">
        <v>0</v>
      </c>
      <c r="B60" s="119" t="s">
        <v>1</v>
      </c>
      <c r="C60" s="120"/>
      <c r="D60" s="119" t="s">
        <v>282</v>
      </c>
      <c r="E60" s="120"/>
      <c r="F60" s="119" t="s">
        <v>2</v>
      </c>
      <c r="G60" s="120"/>
      <c r="H60" s="119" t="s">
        <v>3</v>
      </c>
      <c r="I60" s="120"/>
      <c r="J60" s="119" t="s">
        <v>4</v>
      </c>
      <c r="K60" s="120"/>
      <c r="L60" s="119" t="s">
        <v>283</v>
      </c>
      <c r="M60" s="120"/>
      <c r="N60" s="119" t="s">
        <v>6</v>
      </c>
      <c r="O60" s="120"/>
      <c r="P60" s="119" t="s">
        <v>5</v>
      </c>
      <c r="Q60" s="120"/>
      <c r="R60" s="119" t="s">
        <v>7</v>
      </c>
      <c r="S60" s="120"/>
      <c r="T60" s="119" t="s">
        <v>284</v>
      </c>
      <c r="U60" s="120"/>
      <c r="V60" s="119" t="s">
        <v>8</v>
      </c>
      <c r="W60" s="120"/>
      <c r="X60" s="119" t="s">
        <v>9</v>
      </c>
      <c r="Y60" s="120"/>
      <c r="Z60" s="119" t="s">
        <v>10</v>
      </c>
      <c r="AA60" s="120"/>
      <c r="AB60" s="119" t="s">
        <v>293</v>
      </c>
      <c r="AC60" s="120"/>
      <c r="AD60" s="119" t="s">
        <v>11</v>
      </c>
      <c r="AE60" s="120"/>
      <c r="AF60" s="119" t="s">
        <v>12</v>
      </c>
      <c r="AG60" s="120"/>
      <c r="AH60" s="119" t="s">
        <v>285</v>
      </c>
      <c r="AI60" s="120"/>
      <c r="AJ60" s="119" t="s">
        <v>290</v>
      </c>
      <c r="AK60" s="120"/>
      <c r="AL60" s="119" t="s">
        <v>13</v>
      </c>
      <c r="AM60" s="120"/>
      <c r="AN60" s="119" t="s">
        <v>286</v>
      </c>
      <c r="AO60" s="120"/>
      <c r="AP60" s="119" t="s">
        <v>287</v>
      </c>
      <c r="AQ60" s="120"/>
      <c r="AR60" s="119" t="s">
        <v>291</v>
      </c>
      <c r="AS60" s="120"/>
      <c r="AT60" s="119" t="s">
        <v>294</v>
      </c>
      <c r="AU60" s="120"/>
      <c r="AV60" s="119" t="s">
        <v>14</v>
      </c>
      <c r="AW60" s="120"/>
      <c r="AX60" s="119" t="s">
        <v>15</v>
      </c>
      <c r="AY60" s="120"/>
      <c r="AZ60" s="119" t="s">
        <v>16</v>
      </c>
      <c r="BA60" s="120"/>
      <c r="BB60" s="119" t="s">
        <v>17</v>
      </c>
      <c r="BC60" s="120"/>
      <c r="BD60" s="119" t="s">
        <v>18</v>
      </c>
      <c r="BE60" s="120"/>
      <c r="BF60" s="119" t="s">
        <v>288</v>
      </c>
      <c r="BG60" s="120"/>
      <c r="BH60" s="119" t="s">
        <v>289</v>
      </c>
      <c r="BI60" s="120"/>
      <c r="BJ60" s="119" t="s">
        <v>19</v>
      </c>
      <c r="BK60" s="120"/>
      <c r="BL60" s="119" t="s">
        <v>20</v>
      </c>
      <c r="BM60" s="120"/>
      <c r="BN60" s="121" t="s">
        <v>21</v>
      </c>
      <c r="BO60" s="122"/>
    </row>
    <row r="61" spans="1:67" ht="30" x14ac:dyDescent="0.25">
      <c r="A61" s="3"/>
      <c r="B61" s="57" t="s">
        <v>296</v>
      </c>
      <c r="C61" s="58" t="s">
        <v>297</v>
      </c>
      <c r="D61" s="57" t="s">
        <v>296</v>
      </c>
      <c r="E61" s="58" t="s">
        <v>297</v>
      </c>
      <c r="F61" s="57" t="s">
        <v>296</v>
      </c>
      <c r="G61" s="58" t="s">
        <v>297</v>
      </c>
      <c r="H61" s="57" t="s">
        <v>296</v>
      </c>
      <c r="I61" s="58" t="s">
        <v>297</v>
      </c>
      <c r="J61" s="57" t="s">
        <v>296</v>
      </c>
      <c r="K61" s="58" t="s">
        <v>297</v>
      </c>
      <c r="L61" s="57" t="s">
        <v>296</v>
      </c>
      <c r="M61" s="58" t="s">
        <v>297</v>
      </c>
      <c r="N61" s="57" t="s">
        <v>296</v>
      </c>
      <c r="O61" s="58" t="s">
        <v>297</v>
      </c>
      <c r="P61" s="57" t="s">
        <v>296</v>
      </c>
      <c r="Q61" s="58" t="s">
        <v>297</v>
      </c>
      <c r="R61" s="57" t="s">
        <v>296</v>
      </c>
      <c r="S61" s="58" t="s">
        <v>297</v>
      </c>
      <c r="T61" s="57" t="s">
        <v>296</v>
      </c>
      <c r="U61" s="58" t="s">
        <v>297</v>
      </c>
      <c r="V61" s="57" t="s">
        <v>296</v>
      </c>
      <c r="W61" s="58" t="s">
        <v>297</v>
      </c>
      <c r="X61" s="57" t="s">
        <v>296</v>
      </c>
      <c r="Y61" s="58" t="s">
        <v>297</v>
      </c>
      <c r="Z61" s="57" t="s">
        <v>296</v>
      </c>
      <c r="AA61" s="58" t="s">
        <v>297</v>
      </c>
      <c r="AB61" s="57" t="s">
        <v>296</v>
      </c>
      <c r="AC61" s="58" t="s">
        <v>297</v>
      </c>
      <c r="AD61" s="57" t="s">
        <v>296</v>
      </c>
      <c r="AE61" s="58" t="s">
        <v>297</v>
      </c>
      <c r="AF61" s="57" t="s">
        <v>296</v>
      </c>
      <c r="AG61" s="58" t="s">
        <v>297</v>
      </c>
      <c r="AH61" s="57" t="s">
        <v>296</v>
      </c>
      <c r="AI61" s="58" t="s">
        <v>297</v>
      </c>
      <c r="AJ61" s="57" t="s">
        <v>296</v>
      </c>
      <c r="AK61" s="58" t="s">
        <v>297</v>
      </c>
      <c r="AL61" s="57" t="s">
        <v>296</v>
      </c>
      <c r="AM61" s="58" t="s">
        <v>297</v>
      </c>
      <c r="AN61" s="57" t="s">
        <v>296</v>
      </c>
      <c r="AO61" s="58" t="s">
        <v>297</v>
      </c>
      <c r="AP61" s="57" t="s">
        <v>296</v>
      </c>
      <c r="AQ61" s="58" t="s">
        <v>297</v>
      </c>
      <c r="AR61" s="57" t="s">
        <v>296</v>
      </c>
      <c r="AS61" s="58" t="s">
        <v>297</v>
      </c>
      <c r="AT61" s="57" t="s">
        <v>296</v>
      </c>
      <c r="AU61" s="58" t="s">
        <v>297</v>
      </c>
      <c r="AV61" s="57" t="s">
        <v>296</v>
      </c>
      <c r="AW61" s="58" t="s">
        <v>297</v>
      </c>
      <c r="AX61" s="57" t="s">
        <v>296</v>
      </c>
      <c r="AY61" s="58" t="s">
        <v>297</v>
      </c>
      <c r="AZ61" s="57" t="s">
        <v>296</v>
      </c>
      <c r="BA61" s="58" t="s">
        <v>297</v>
      </c>
      <c r="BB61" s="57" t="s">
        <v>296</v>
      </c>
      <c r="BC61" s="58" t="s">
        <v>297</v>
      </c>
      <c r="BD61" s="57" t="s">
        <v>296</v>
      </c>
      <c r="BE61" s="58" t="s">
        <v>297</v>
      </c>
      <c r="BF61" s="57" t="s">
        <v>296</v>
      </c>
      <c r="BG61" s="58" t="s">
        <v>297</v>
      </c>
      <c r="BH61" s="57" t="s">
        <v>296</v>
      </c>
      <c r="BI61" s="58" t="s">
        <v>297</v>
      </c>
      <c r="BJ61" s="57" t="s">
        <v>296</v>
      </c>
      <c r="BK61" s="58" t="s">
        <v>297</v>
      </c>
      <c r="BL61" s="57" t="s">
        <v>296</v>
      </c>
      <c r="BM61" s="58" t="s">
        <v>297</v>
      </c>
      <c r="BN61" s="57" t="s">
        <v>296</v>
      </c>
      <c r="BO61" s="58" t="s">
        <v>297</v>
      </c>
    </row>
    <row r="62" spans="1:67" x14ac:dyDescent="0.25">
      <c r="A62" s="25" t="s">
        <v>225</v>
      </c>
      <c r="B62" s="9"/>
      <c r="C62" s="9"/>
      <c r="D62" s="9"/>
      <c r="E62" s="9"/>
      <c r="F62" s="9"/>
      <c r="G62" s="9"/>
      <c r="H62" s="84">
        <v>-121</v>
      </c>
      <c r="I62" s="84">
        <v>8261</v>
      </c>
      <c r="J62" s="9"/>
      <c r="K62" s="9"/>
      <c r="L62" s="9"/>
      <c r="M62" s="9"/>
      <c r="N62" s="9"/>
      <c r="O62" s="9"/>
      <c r="P62" s="9"/>
      <c r="Q62" s="9"/>
      <c r="R62" s="84">
        <v>2284</v>
      </c>
      <c r="S62" s="84">
        <v>2307</v>
      </c>
      <c r="T62" s="9"/>
      <c r="U62" s="9"/>
      <c r="V62" s="84">
        <v>120</v>
      </c>
      <c r="W62" s="84">
        <v>3343</v>
      </c>
      <c r="X62" s="84">
        <v>5107</v>
      </c>
      <c r="Y62" s="84">
        <v>14834</v>
      </c>
      <c r="Z62" s="9"/>
      <c r="AA62" s="84">
        <v>20</v>
      </c>
      <c r="AB62" s="9"/>
      <c r="AC62" s="9"/>
      <c r="AD62" s="9"/>
      <c r="AE62" s="9"/>
      <c r="AF62" s="9"/>
      <c r="AG62" s="9"/>
      <c r="AH62" s="10"/>
      <c r="AI62" s="9"/>
      <c r="AJ62" s="9"/>
      <c r="AK62" s="9"/>
      <c r="AL62" s="9">
        <v>6690.0709999999999</v>
      </c>
      <c r="AM62" s="9">
        <v>15708.909</v>
      </c>
      <c r="AN62" s="9"/>
      <c r="AO62" s="9"/>
      <c r="AP62" s="9"/>
      <c r="AQ62" s="9"/>
      <c r="AR62" s="9">
        <v>19</v>
      </c>
      <c r="AS62" s="9">
        <v>1952</v>
      </c>
      <c r="AT62" s="9"/>
      <c r="AU62" s="9"/>
      <c r="AV62" s="9"/>
      <c r="AW62" s="9"/>
      <c r="AX62" s="84">
        <v>10</v>
      </c>
      <c r="AY62" s="84">
        <v>145</v>
      </c>
      <c r="AZ62" s="9"/>
      <c r="BA62" s="9"/>
      <c r="BB62" s="9"/>
      <c r="BC62" s="9"/>
      <c r="BD62" s="9"/>
      <c r="BE62" s="9"/>
      <c r="BF62" s="84">
        <v>12876</v>
      </c>
      <c r="BG62" s="84">
        <v>42805</v>
      </c>
      <c r="BH62" s="103">
        <v>2673</v>
      </c>
      <c r="BI62" s="103">
        <v>7627</v>
      </c>
      <c r="BJ62" s="103">
        <v>3557</v>
      </c>
      <c r="BK62" s="103">
        <v>10954</v>
      </c>
      <c r="BL62" s="9"/>
      <c r="BM62" s="9"/>
      <c r="BN62" s="73">
        <f t="shared" ref="BN62:BN65" si="14">SUM(B62+D62+F62+H62+J62+L62+N62+P62+R62+T62+V62+X62+Z62+AB62+AD62+AF62+AH62+AJ62+AL62+AN62+AP62+AR62+AT62+AV62+AX62+AZ62+BB62+BD62+BF62+BH62+BJ62+BL62)</f>
        <v>33215.070999999996</v>
      </c>
      <c r="BO62" s="73">
        <f t="shared" ref="BO62:BO65" si="15">SUM(C62+E62+G62+I62+K62+M62+O62+Q62+S62+U62+W62+Y62+AA62+AC62+AE62+AG62+AI62+AK62+AM62+AO62+AQ62+AS62+AU62+AW62+AY62+BA62+BC62+BE62+BG62+BI62+BK62+BM62)</f>
        <v>107956.909</v>
      </c>
    </row>
    <row r="63" spans="1:67" x14ac:dyDescent="0.25">
      <c r="A63" s="25" t="s">
        <v>276</v>
      </c>
      <c r="B63" s="9"/>
      <c r="C63" s="9"/>
      <c r="D63" s="9"/>
      <c r="E63" s="9"/>
      <c r="F63" s="9"/>
      <c r="G63" s="9"/>
      <c r="H63" s="84"/>
      <c r="I63" s="84"/>
      <c r="J63" s="9"/>
      <c r="K63" s="9"/>
      <c r="L63" s="9"/>
      <c r="M63" s="9"/>
      <c r="N63" s="9"/>
      <c r="O63" s="9"/>
      <c r="P63" s="9"/>
      <c r="Q63" s="9"/>
      <c r="R63" s="84"/>
      <c r="S63" s="84"/>
      <c r="T63" s="9"/>
      <c r="U63" s="9"/>
      <c r="V63" s="84"/>
      <c r="W63" s="84">
        <v>-72</v>
      </c>
      <c r="X63" s="84">
        <v>6540</v>
      </c>
      <c r="Y63" s="84">
        <v>11737</v>
      </c>
      <c r="Z63" s="84">
        <v>-511</v>
      </c>
      <c r="AA63" s="84">
        <v>-511</v>
      </c>
      <c r="AB63" s="9"/>
      <c r="AC63" s="9"/>
      <c r="AD63" s="9"/>
      <c r="AE63" s="9"/>
      <c r="AF63" s="9"/>
      <c r="AG63" s="9"/>
      <c r="AH63" s="10"/>
      <c r="AI63" s="9"/>
      <c r="AJ63" s="9"/>
      <c r="AK63" s="9"/>
      <c r="AL63" s="9">
        <v>25176.133000000002</v>
      </c>
      <c r="AM63" s="9">
        <v>35001.991000000002</v>
      </c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84"/>
      <c r="AY63" s="84"/>
      <c r="AZ63" s="9"/>
      <c r="BA63" s="9"/>
      <c r="BB63" s="9"/>
      <c r="BC63" s="9"/>
      <c r="BD63" s="9"/>
      <c r="BE63" s="9"/>
      <c r="BF63" s="84">
        <v>40939</v>
      </c>
      <c r="BG63" s="84">
        <v>159263</v>
      </c>
      <c r="BH63" s="103">
        <v>59535</v>
      </c>
      <c r="BI63" s="103">
        <v>517678</v>
      </c>
      <c r="BJ63" s="103">
        <v>8323</v>
      </c>
      <c r="BK63" s="103">
        <v>28845</v>
      </c>
      <c r="BL63" s="9"/>
      <c r="BM63" s="9"/>
      <c r="BN63" s="73">
        <f t="shared" si="14"/>
        <v>140002.133</v>
      </c>
      <c r="BO63" s="73">
        <f t="shared" si="15"/>
        <v>751941.99100000004</v>
      </c>
    </row>
    <row r="64" spans="1:67" x14ac:dyDescent="0.25">
      <c r="A64" s="25" t="s">
        <v>277</v>
      </c>
      <c r="B64" s="9"/>
      <c r="C64" s="9"/>
      <c r="D64" s="9"/>
      <c r="E64" s="9"/>
      <c r="F64" s="9"/>
      <c r="G64" s="9"/>
      <c r="H64" s="84">
        <v>1333</v>
      </c>
      <c r="I64" s="84">
        <v>7992</v>
      </c>
      <c r="J64" s="9"/>
      <c r="K64" s="9"/>
      <c r="L64" s="9"/>
      <c r="M64" s="9"/>
      <c r="N64" s="9"/>
      <c r="O64" s="9"/>
      <c r="P64" s="9"/>
      <c r="Q64" s="9"/>
      <c r="R64" s="84">
        <v>342</v>
      </c>
      <c r="S64" s="84">
        <v>350</v>
      </c>
      <c r="T64" s="9"/>
      <c r="U64" s="9"/>
      <c r="V64" s="84">
        <v>-3289</v>
      </c>
      <c r="W64" s="84">
        <v>-8058</v>
      </c>
      <c r="X64" s="84">
        <v>6398</v>
      </c>
      <c r="Y64" s="84">
        <v>14108</v>
      </c>
      <c r="Z64" s="84"/>
      <c r="AA64" s="84">
        <v>10</v>
      </c>
      <c r="AB64" s="9"/>
      <c r="AC64" s="9"/>
      <c r="AD64" s="9"/>
      <c r="AE64" s="9"/>
      <c r="AF64" s="9"/>
      <c r="AG64" s="9"/>
      <c r="AH64" s="10"/>
      <c r="AI64" s="9"/>
      <c r="AJ64" s="9"/>
      <c r="AK64" s="9"/>
      <c r="AL64" s="9">
        <v>30774.790999999997</v>
      </c>
      <c r="AM64" s="9">
        <v>45079.824999999997</v>
      </c>
      <c r="AN64" s="9"/>
      <c r="AO64" s="9"/>
      <c r="AP64" s="9"/>
      <c r="AQ64" s="9"/>
      <c r="AR64" s="9">
        <v>3340</v>
      </c>
      <c r="AS64" s="9">
        <v>6726</v>
      </c>
      <c r="AT64" s="9"/>
      <c r="AU64" s="9"/>
      <c r="AV64" s="9"/>
      <c r="AW64" s="9"/>
      <c r="AX64" s="84">
        <v>2</v>
      </c>
      <c r="AY64" s="84">
        <v>8</v>
      </c>
      <c r="AZ64" s="9"/>
      <c r="BA64" s="9"/>
      <c r="BB64" s="9"/>
      <c r="BC64" s="9"/>
      <c r="BD64" s="103">
        <v>-643</v>
      </c>
      <c r="BE64" s="103">
        <v>-643</v>
      </c>
      <c r="BF64" s="84">
        <v>27018</v>
      </c>
      <c r="BG64" s="84">
        <v>81311</v>
      </c>
      <c r="BH64" s="103">
        <v>40196</v>
      </c>
      <c r="BI64" s="103">
        <v>181651</v>
      </c>
      <c r="BJ64" s="103">
        <v>9244</v>
      </c>
      <c r="BK64" s="103">
        <v>27393</v>
      </c>
      <c r="BL64" s="9"/>
      <c r="BM64" s="9"/>
      <c r="BN64" s="73">
        <f t="shared" si="14"/>
        <v>114715.791</v>
      </c>
      <c r="BO64" s="73">
        <f t="shared" si="15"/>
        <v>355927.82500000001</v>
      </c>
    </row>
    <row r="65" spans="1:67" x14ac:dyDescent="0.25">
      <c r="A65" s="25" t="s">
        <v>226</v>
      </c>
      <c r="B65" s="9"/>
      <c r="C65" s="9"/>
      <c r="D65" s="9"/>
      <c r="E65" s="9"/>
      <c r="F65" s="9"/>
      <c r="G65" s="9"/>
      <c r="H65" s="84">
        <v>-1454</v>
      </c>
      <c r="I65" s="84">
        <v>269</v>
      </c>
      <c r="J65" s="9"/>
      <c r="K65" s="9"/>
      <c r="L65" s="9"/>
      <c r="M65" s="9"/>
      <c r="N65" s="9"/>
      <c r="O65" s="9"/>
      <c r="P65" s="9"/>
      <c r="Q65" s="9"/>
      <c r="R65" s="84">
        <v>1943</v>
      </c>
      <c r="S65" s="84">
        <v>1957</v>
      </c>
      <c r="T65" s="9"/>
      <c r="U65" s="9"/>
      <c r="V65" s="84">
        <v>-3169</v>
      </c>
      <c r="W65" s="84">
        <v>-4787</v>
      </c>
      <c r="X65" s="84">
        <v>5249</v>
      </c>
      <c r="Y65" s="84">
        <v>12463</v>
      </c>
      <c r="Z65" s="84">
        <v>-511</v>
      </c>
      <c r="AA65" s="84">
        <v>-501</v>
      </c>
      <c r="AB65" s="9"/>
      <c r="AC65" s="9"/>
      <c r="AD65" s="9"/>
      <c r="AE65" s="9"/>
      <c r="AF65" s="9"/>
      <c r="AG65" s="9"/>
      <c r="AH65" s="10"/>
      <c r="AI65" s="9"/>
      <c r="AJ65" s="9"/>
      <c r="AK65" s="9"/>
      <c r="AL65" s="9">
        <v>1091.4130000000041</v>
      </c>
      <c r="AM65" s="9">
        <v>5631.0750000000044</v>
      </c>
      <c r="AN65" s="9"/>
      <c r="AO65" s="9"/>
      <c r="AP65" s="9"/>
      <c r="AQ65" s="9"/>
      <c r="AR65" s="9">
        <v>-3321</v>
      </c>
      <c r="AS65" s="9">
        <v>-4774</v>
      </c>
      <c r="AT65" s="9"/>
      <c r="AU65" s="9"/>
      <c r="AV65" s="9"/>
      <c r="AW65" s="9"/>
      <c r="AX65" s="84">
        <v>8</v>
      </c>
      <c r="AY65" s="84">
        <v>137</v>
      </c>
      <c r="AZ65" s="9"/>
      <c r="BA65" s="9"/>
      <c r="BB65" s="9"/>
      <c r="BC65" s="9"/>
      <c r="BD65" s="103">
        <v>643</v>
      </c>
      <c r="BE65" s="103">
        <v>643</v>
      </c>
      <c r="BF65" s="84">
        <v>26797</v>
      </c>
      <c r="BG65" s="84">
        <v>120758</v>
      </c>
      <c r="BH65" s="103">
        <v>22012</v>
      </c>
      <c r="BI65" s="103">
        <v>343654</v>
      </c>
      <c r="BJ65" s="103">
        <v>2636</v>
      </c>
      <c r="BK65" s="103">
        <v>12406</v>
      </c>
      <c r="BL65" s="9"/>
      <c r="BM65" s="9"/>
      <c r="BN65" s="73">
        <f t="shared" si="14"/>
        <v>51924.413</v>
      </c>
      <c r="BO65" s="73">
        <f t="shared" si="15"/>
        <v>487856.07500000001</v>
      </c>
    </row>
    <row r="66" spans="1:67" x14ac:dyDescent="0.25">
      <c r="A66" s="23"/>
    </row>
    <row r="67" spans="1:67" x14ac:dyDescent="0.25">
      <c r="A67" s="24" t="s">
        <v>224</v>
      </c>
    </row>
    <row r="68" spans="1:67" x14ac:dyDescent="0.25">
      <c r="A68" s="3" t="s">
        <v>0</v>
      </c>
      <c r="B68" s="119" t="s">
        <v>1</v>
      </c>
      <c r="C68" s="120"/>
      <c r="D68" s="119" t="s">
        <v>282</v>
      </c>
      <c r="E68" s="120"/>
      <c r="F68" s="119" t="s">
        <v>2</v>
      </c>
      <c r="G68" s="120"/>
      <c r="H68" s="119" t="s">
        <v>3</v>
      </c>
      <c r="I68" s="120"/>
      <c r="J68" s="119" t="s">
        <v>4</v>
      </c>
      <c r="K68" s="120"/>
      <c r="L68" s="119" t="s">
        <v>283</v>
      </c>
      <c r="M68" s="120"/>
      <c r="N68" s="119" t="s">
        <v>6</v>
      </c>
      <c r="O68" s="120"/>
      <c r="P68" s="119" t="s">
        <v>5</v>
      </c>
      <c r="Q68" s="120"/>
      <c r="R68" s="119" t="s">
        <v>7</v>
      </c>
      <c r="S68" s="120"/>
      <c r="T68" s="119" t="s">
        <v>284</v>
      </c>
      <c r="U68" s="120"/>
      <c r="V68" s="119" t="s">
        <v>8</v>
      </c>
      <c r="W68" s="120"/>
      <c r="X68" s="119" t="s">
        <v>9</v>
      </c>
      <c r="Y68" s="120"/>
      <c r="Z68" s="119" t="s">
        <v>10</v>
      </c>
      <c r="AA68" s="120"/>
      <c r="AB68" s="119" t="s">
        <v>293</v>
      </c>
      <c r="AC68" s="120"/>
      <c r="AD68" s="119" t="s">
        <v>11</v>
      </c>
      <c r="AE68" s="120"/>
      <c r="AF68" s="119" t="s">
        <v>12</v>
      </c>
      <c r="AG68" s="120"/>
      <c r="AH68" s="119" t="s">
        <v>285</v>
      </c>
      <c r="AI68" s="120"/>
      <c r="AJ68" s="119" t="s">
        <v>290</v>
      </c>
      <c r="AK68" s="120"/>
      <c r="AL68" s="119" t="s">
        <v>13</v>
      </c>
      <c r="AM68" s="120"/>
      <c r="AN68" s="119" t="s">
        <v>286</v>
      </c>
      <c r="AO68" s="120"/>
      <c r="AP68" s="119" t="s">
        <v>287</v>
      </c>
      <c r="AQ68" s="120"/>
      <c r="AR68" s="119" t="s">
        <v>291</v>
      </c>
      <c r="AS68" s="120"/>
      <c r="AT68" s="119" t="s">
        <v>294</v>
      </c>
      <c r="AU68" s="120"/>
      <c r="AV68" s="119" t="s">
        <v>14</v>
      </c>
      <c r="AW68" s="120"/>
      <c r="AX68" s="119" t="s">
        <v>15</v>
      </c>
      <c r="AY68" s="120"/>
      <c r="AZ68" s="119" t="s">
        <v>16</v>
      </c>
      <c r="BA68" s="120"/>
      <c r="BB68" s="119" t="s">
        <v>17</v>
      </c>
      <c r="BC68" s="120"/>
      <c r="BD68" s="119" t="s">
        <v>18</v>
      </c>
      <c r="BE68" s="120"/>
      <c r="BF68" s="119" t="s">
        <v>288</v>
      </c>
      <c r="BG68" s="120"/>
      <c r="BH68" s="119" t="s">
        <v>289</v>
      </c>
      <c r="BI68" s="120"/>
      <c r="BJ68" s="119" t="s">
        <v>19</v>
      </c>
      <c r="BK68" s="120"/>
      <c r="BL68" s="119" t="s">
        <v>20</v>
      </c>
      <c r="BM68" s="120"/>
      <c r="BN68" s="121" t="s">
        <v>21</v>
      </c>
      <c r="BO68" s="122"/>
    </row>
    <row r="69" spans="1:67" ht="30" x14ac:dyDescent="0.25">
      <c r="A69" s="3"/>
      <c r="B69" s="57" t="s">
        <v>296</v>
      </c>
      <c r="C69" s="58" t="s">
        <v>297</v>
      </c>
      <c r="D69" s="57" t="s">
        <v>296</v>
      </c>
      <c r="E69" s="58" t="s">
        <v>297</v>
      </c>
      <c r="F69" s="57" t="s">
        <v>296</v>
      </c>
      <c r="G69" s="58" t="s">
        <v>297</v>
      </c>
      <c r="H69" s="57" t="s">
        <v>296</v>
      </c>
      <c r="I69" s="58" t="s">
        <v>297</v>
      </c>
      <c r="J69" s="57" t="s">
        <v>296</v>
      </c>
      <c r="K69" s="58" t="s">
        <v>297</v>
      </c>
      <c r="L69" s="57" t="s">
        <v>296</v>
      </c>
      <c r="M69" s="58" t="s">
        <v>297</v>
      </c>
      <c r="N69" s="57" t="s">
        <v>296</v>
      </c>
      <c r="O69" s="58" t="s">
        <v>297</v>
      </c>
      <c r="P69" s="57" t="s">
        <v>296</v>
      </c>
      <c r="Q69" s="58" t="s">
        <v>297</v>
      </c>
      <c r="R69" s="57" t="s">
        <v>296</v>
      </c>
      <c r="S69" s="58" t="s">
        <v>297</v>
      </c>
      <c r="T69" s="57" t="s">
        <v>296</v>
      </c>
      <c r="U69" s="58" t="s">
        <v>297</v>
      </c>
      <c r="V69" s="57" t="s">
        <v>296</v>
      </c>
      <c r="W69" s="58" t="s">
        <v>297</v>
      </c>
      <c r="X69" s="57" t="s">
        <v>296</v>
      </c>
      <c r="Y69" s="58" t="s">
        <v>297</v>
      </c>
      <c r="Z69" s="57" t="s">
        <v>296</v>
      </c>
      <c r="AA69" s="58" t="s">
        <v>297</v>
      </c>
      <c r="AB69" s="57" t="s">
        <v>296</v>
      </c>
      <c r="AC69" s="58" t="s">
        <v>297</v>
      </c>
      <c r="AD69" s="57" t="s">
        <v>296</v>
      </c>
      <c r="AE69" s="58" t="s">
        <v>297</v>
      </c>
      <c r="AF69" s="57" t="s">
        <v>296</v>
      </c>
      <c r="AG69" s="58" t="s">
        <v>297</v>
      </c>
      <c r="AH69" s="57" t="s">
        <v>296</v>
      </c>
      <c r="AI69" s="58" t="s">
        <v>297</v>
      </c>
      <c r="AJ69" s="57" t="s">
        <v>296</v>
      </c>
      <c r="AK69" s="58" t="s">
        <v>297</v>
      </c>
      <c r="AL69" s="57" t="s">
        <v>296</v>
      </c>
      <c r="AM69" s="58" t="s">
        <v>297</v>
      </c>
      <c r="AN69" s="57" t="s">
        <v>296</v>
      </c>
      <c r="AO69" s="58" t="s">
        <v>297</v>
      </c>
      <c r="AP69" s="57" t="s">
        <v>296</v>
      </c>
      <c r="AQ69" s="58" t="s">
        <v>297</v>
      </c>
      <c r="AR69" s="57" t="s">
        <v>296</v>
      </c>
      <c r="AS69" s="58" t="s">
        <v>297</v>
      </c>
      <c r="AT69" s="57" t="s">
        <v>296</v>
      </c>
      <c r="AU69" s="58" t="s">
        <v>297</v>
      </c>
      <c r="AV69" s="57" t="s">
        <v>296</v>
      </c>
      <c r="AW69" s="58" t="s">
        <v>297</v>
      </c>
      <c r="AX69" s="57" t="s">
        <v>296</v>
      </c>
      <c r="AY69" s="58" t="s">
        <v>297</v>
      </c>
      <c r="AZ69" s="57" t="s">
        <v>296</v>
      </c>
      <c r="BA69" s="58" t="s">
        <v>297</v>
      </c>
      <c r="BB69" s="57" t="s">
        <v>296</v>
      </c>
      <c r="BC69" s="58" t="s">
        <v>297</v>
      </c>
      <c r="BD69" s="57" t="s">
        <v>296</v>
      </c>
      <c r="BE69" s="58" t="s">
        <v>297</v>
      </c>
      <c r="BF69" s="57" t="s">
        <v>296</v>
      </c>
      <c r="BG69" s="58" t="s">
        <v>297</v>
      </c>
      <c r="BH69" s="57" t="s">
        <v>296</v>
      </c>
      <c r="BI69" s="58" t="s">
        <v>297</v>
      </c>
      <c r="BJ69" s="57" t="s">
        <v>296</v>
      </c>
      <c r="BK69" s="58" t="s">
        <v>297</v>
      </c>
      <c r="BL69" s="57" t="s">
        <v>296</v>
      </c>
      <c r="BM69" s="58" t="s">
        <v>297</v>
      </c>
      <c r="BN69" s="57" t="s">
        <v>296</v>
      </c>
      <c r="BO69" s="58" t="s">
        <v>297</v>
      </c>
    </row>
    <row r="70" spans="1:67" x14ac:dyDescent="0.25">
      <c r="A70" s="25" t="s">
        <v>225</v>
      </c>
      <c r="B70" s="9">
        <f>B78-B62-B54-B46-B38-B30-B22-B14-B6</f>
        <v>0</v>
      </c>
      <c r="C70" s="9">
        <f t="shared" ref="C70:AG70" si="16">C78-C62-C54-C46-C38-C30-C22-C14-C6</f>
        <v>0</v>
      </c>
      <c r="D70" s="9">
        <f t="shared" si="16"/>
        <v>0</v>
      </c>
      <c r="E70" s="9">
        <f t="shared" si="16"/>
        <v>0</v>
      </c>
      <c r="F70" s="9">
        <f t="shared" si="16"/>
        <v>309257</v>
      </c>
      <c r="G70" s="9">
        <f t="shared" si="16"/>
        <v>601451</v>
      </c>
      <c r="H70" s="9">
        <f t="shared" si="16"/>
        <v>194049</v>
      </c>
      <c r="I70" s="9">
        <f t="shared" si="16"/>
        <v>773585</v>
      </c>
      <c r="J70" s="9">
        <f t="shared" si="16"/>
        <v>15984</v>
      </c>
      <c r="K70" s="9">
        <f t="shared" si="16"/>
        <v>51293</v>
      </c>
      <c r="L70" s="9">
        <f t="shared" si="16"/>
        <v>16754</v>
      </c>
      <c r="M70" s="9">
        <f t="shared" si="16"/>
        <v>49130</v>
      </c>
      <c r="N70" s="9">
        <f t="shared" si="16"/>
        <v>70567.41</v>
      </c>
      <c r="O70" s="9">
        <f t="shared" si="16"/>
        <v>112878.42</v>
      </c>
      <c r="P70" s="9">
        <f t="shared" si="16"/>
        <v>16</v>
      </c>
      <c r="Q70" s="9">
        <f t="shared" si="16"/>
        <v>425</v>
      </c>
      <c r="R70" s="9">
        <f t="shared" si="16"/>
        <v>70234</v>
      </c>
      <c r="S70" s="9">
        <f t="shared" si="16"/>
        <v>215990</v>
      </c>
      <c r="T70" s="9">
        <f t="shared" si="16"/>
        <v>9376</v>
      </c>
      <c r="U70" s="9">
        <f t="shared" si="16"/>
        <v>48584</v>
      </c>
      <c r="V70" s="9">
        <f t="shared" si="16"/>
        <v>116422</v>
      </c>
      <c r="W70" s="9">
        <f t="shared" si="16"/>
        <v>582990</v>
      </c>
      <c r="X70" s="9">
        <f t="shared" si="16"/>
        <v>163205</v>
      </c>
      <c r="Y70" s="9">
        <f t="shared" si="16"/>
        <v>692972</v>
      </c>
      <c r="Z70" s="9">
        <f t="shared" si="16"/>
        <v>126776</v>
      </c>
      <c r="AA70" s="9">
        <f t="shared" si="16"/>
        <v>470270</v>
      </c>
      <c r="AB70" s="9">
        <f t="shared" si="16"/>
        <v>2413</v>
      </c>
      <c r="AC70" s="9">
        <f t="shared" si="16"/>
        <v>14232</v>
      </c>
      <c r="AD70" s="9">
        <f t="shared" si="16"/>
        <v>33968</v>
      </c>
      <c r="AE70" s="9">
        <f t="shared" si="16"/>
        <v>104875</v>
      </c>
      <c r="AF70" s="9">
        <f t="shared" si="16"/>
        <v>27458</v>
      </c>
      <c r="AG70" s="9">
        <f t="shared" si="16"/>
        <v>34297</v>
      </c>
      <c r="AH70" s="9">
        <f t="shared" ref="AH70:BM70" si="17">AH78-AH62-AH54-AH46-AH38-AH30-AH22-AH14-AH6</f>
        <v>-1</v>
      </c>
      <c r="AI70" s="9">
        <f t="shared" si="17"/>
        <v>0</v>
      </c>
      <c r="AJ70" s="9">
        <f t="shared" si="17"/>
        <v>0</v>
      </c>
      <c r="AK70" s="9">
        <f t="shared" si="17"/>
        <v>0</v>
      </c>
      <c r="AL70" s="9">
        <f t="shared" si="17"/>
        <v>195577.79699999979</v>
      </c>
      <c r="AM70" s="9">
        <f t="shared" si="17"/>
        <v>517450.63399999938</v>
      </c>
      <c r="AN70" s="9">
        <f t="shared" si="17"/>
        <v>169</v>
      </c>
      <c r="AO70" s="9">
        <f t="shared" si="17"/>
        <v>963</v>
      </c>
      <c r="AP70" s="9">
        <f t="shared" si="17"/>
        <v>26038</v>
      </c>
      <c r="AQ70" s="9">
        <f t="shared" si="17"/>
        <v>91026</v>
      </c>
      <c r="AR70" s="9">
        <f t="shared" si="17"/>
        <v>18617</v>
      </c>
      <c r="AS70" s="9">
        <f t="shared" si="17"/>
        <v>66521</v>
      </c>
      <c r="AT70" s="9">
        <f t="shared" si="17"/>
        <v>0</v>
      </c>
      <c r="AU70" s="9">
        <f t="shared" si="17"/>
        <v>0</v>
      </c>
      <c r="AV70" s="9">
        <f t="shared" si="17"/>
        <v>8891</v>
      </c>
      <c r="AW70" s="9">
        <f t="shared" si="17"/>
        <v>21848</v>
      </c>
      <c r="AX70" s="9">
        <f t="shared" si="17"/>
        <v>127517</v>
      </c>
      <c r="AY70" s="9">
        <f t="shared" si="17"/>
        <v>302743</v>
      </c>
      <c r="AZ70" s="9">
        <f t="shared" si="17"/>
        <v>4088</v>
      </c>
      <c r="BA70" s="9">
        <f t="shared" si="17"/>
        <v>13606</v>
      </c>
      <c r="BB70" s="9">
        <f t="shared" si="17"/>
        <v>4448463</v>
      </c>
      <c r="BC70" s="9">
        <f t="shared" si="17"/>
        <v>13107407</v>
      </c>
      <c r="BD70" s="9">
        <f t="shared" si="17"/>
        <v>58760</v>
      </c>
      <c r="BE70" s="9">
        <f t="shared" si="17"/>
        <v>205940</v>
      </c>
      <c r="BF70" s="9">
        <f t="shared" si="17"/>
        <v>474170</v>
      </c>
      <c r="BG70" s="9">
        <f t="shared" si="17"/>
        <v>1779485</v>
      </c>
      <c r="BH70" s="9">
        <f t="shared" si="17"/>
        <v>281247</v>
      </c>
      <c r="BI70" s="9">
        <f t="shared" si="17"/>
        <v>840458</v>
      </c>
      <c r="BJ70" s="9">
        <f t="shared" si="17"/>
        <v>377541</v>
      </c>
      <c r="BK70" s="9">
        <f t="shared" si="17"/>
        <v>980262</v>
      </c>
      <c r="BL70" s="9">
        <f t="shared" si="17"/>
        <v>28626</v>
      </c>
      <c r="BM70" s="9">
        <f t="shared" si="17"/>
        <v>90687</v>
      </c>
      <c r="BN70" s="73">
        <f t="shared" ref="BN70:BN73" si="18">SUM(B70+D70+F70+H70+J70+L70+N70+P70+R70+T70+V70+X70+Z70+AB70+AD70+AF70+AH70+AJ70+AL70+AN70+AP70+AR70+AT70+AV70+AX70+AZ70+BB70+BD70+BF70+BH70+BJ70+BL70)</f>
        <v>7206183.2070000004</v>
      </c>
      <c r="BO70" s="73">
        <f t="shared" ref="BO70:BO73" si="19">SUM(C70+E70+G70+I70+K70+M70+O70+Q70+S70+U70+W70+Y70+AA70+AC70+AE70+AG70+AI70+AK70+AM70+AO70+AQ70+AS70+AU70+AW70+AY70+BA70+BC70+BE70+BG70+BI70+BK70+BM70)</f>
        <v>21771369.053999998</v>
      </c>
    </row>
    <row r="71" spans="1:67" x14ac:dyDescent="0.25">
      <c r="A71" s="25" t="s">
        <v>276</v>
      </c>
      <c r="B71" s="9">
        <f t="shared" ref="B71:AG71" si="20">B79-B63-B55-B47-B39-B31-B23-B15-B7</f>
        <v>0</v>
      </c>
      <c r="C71" s="9">
        <f t="shared" si="20"/>
        <v>0</v>
      </c>
      <c r="D71" s="9">
        <f t="shared" si="20"/>
        <v>0</v>
      </c>
      <c r="E71" s="9">
        <f t="shared" si="20"/>
        <v>0</v>
      </c>
      <c r="F71" s="9">
        <f t="shared" si="20"/>
        <v>0</v>
      </c>
      <c r="G71" s="9">
        <f t="shared" si="20"/>
        <v>-22</v>
      </c>
      <c r="H71" s="9">
        <f t="shared" si="20"/>
        <v>1</v>
      </c>
      <c r="I71" s="9">
        <f t="shared" si="20"/>
        <v>1057</v>
      </c>
      <c r="J71" s="9">
        <f t="shared" si="20"/>
        <v>2</v>
      </c>
      <c r="K71" s="9">
        <f t="shared" si="20"/>
        <v>0</v>
      </c>
      <c r="L71" s="9">
        <f t="shared" si="20"/>
        <v>-1</v>
      </c>
      <c r="M71" s="9">
        <f t="shared" si="20"/>
        <v>130</v>
      </c>
      <c r="N71" s="9">
        <f t="shared" si="20"/>
        <v>0</v>
      </c>
      <c r="O71" s="9">
        <f t="shared" si="20"/>
        <v>0</v>
      </c>
      <c r="P71" s="9">
        <f t="shared" si="20"/>
        <v>0</v>
      </c>
      <c r="Q71" s="9">
        <f t="shared" si="20"/>
        <v>70</v>
      </c>
      <c r="R71" s="9">
        <f t="shared" si="20"/>
        <v>0</v>
      </c>
      <c r="S71" s="9">
        <f t="shared" si="20"/>
        <v>16</v>
      </c>
      <c r="T71" s="9">
        <f t="shared" si="20"/>
        <v>1364</v>
      </c>
      <c r="U71" s="9">
        <f t="shared" si="20"/>
        <v>35481</v>
      </c>
      <c r="V71" s="9">
        <f t="shared" si="20"/>
        <v>2230</v>
      </c>
      <c r="W71" s="9">
        <f t="shared" si="20"/>
        <v>31048</v>
      </c>
      <c r="X71" s="9">
        <f t="shared" si="20"/>
        <v>2451</v>
      </c>
      <c r="Y71" s="9">
        <f t="shared" si="20"/>
        <v>21612</v>
      </c>
      <c r="Z71" s="9">
        <f t="shared" si="20"/>
        <v>660</v>
      </c>
      <c r="AA71" s="9">
        <f t="shared" si="20"/>
        <v>10820</v>
      </c>
      <c r="AB71" s="9">
        <f t="shared" si="20"/>
        <v>0</v>
      </c>
      <c r="AC71" s="9">
        <f t="shared" si="20"/>
        <v>11</v>
      </c>
      <c r="AD71" s="9">
        <f t="shared" si="20"/>
        <v>-1</v>
      </c>
      <c r="AE71" s="9">
        <f t="shared" si="20"/>
        <v>22</v>
      </c>
      <c r="AF71" s="9">
        <f t="shared" si="20"/>
        <v>0</v>
      </c>
      <c r="AG71" s="9">
        <f t="shared" si="20"/>
        <v>89</v>
      </c>
      <c r="AH71" s="9">
        <f t="shared" ref="AH71:BM71" si="21">AH79-AH63-AH55-AH47-AH39-AH31-AH23-AH15-AH7</f>
        <v>0</v>
      </c>
      <c r="AI71" s="9">
        <f t="shared" si="21"/>
        <v>0</v>
      </c>
      <c r="AJ71" s="9">
        <f t="shared" si="21"/>
        <v>0</v>
      </c>
      <c r="AK71" s="9">
        <f t="shared" si="21"/>
        <v>0</v>
      </c>
      <c r="AL71" s="9">
        <f t="shared" si="21"/>
        <v>4074.8999999999651</v>
      </c>
      <c r="AM71" s="9">
        <f t="shared" si="21"/>
        <v>14234.352000000072</v>
      </c>
      <c r="AN71" s="9">
        <f t="shared" si="21"/>
        <v>0</v>
      </c>
      <c r="AO71" s="9">
        <f t="shared" si="21"/>
        <v>0</v>
      </c>
      <c r="AP71" s="9">
        <f t="shared" si="21"/>
        <v>13597</v>
      </c>
      <c r="AQ71" s="9">
        <f t="shared" si="21"/>
        <v>26574</v>
      </c>
      <c r="AR71" s="9">
        <f t="shared" si="21"/>
        <v>1</v>
      </c>
      <c r="AS71" s="9">
        <f t="shared" si="21"/>
        <v>270</v>
      </c>
      <c r="AT71" s="9">
        <f t="shared" si="21"/>
        <v>0</v>
      </c>
      <c r="AU71" s="9">
        <f t="shared" si="21"/>
        <v>0</v>
      </c>
      <c r="AV71" s="9">
        <f t="shared" si="21"/>
        <v>0</v>
      </c>
      <c r="AW71" s="9">
        <f t="shared" si="21"/>
        <v>8</v>
      </c>
      <c r="AX71" s="9">
        <f t="shared" si="21"/>
        <v>0</v>
      </c>
      <c r="AY71" s="9">
        <f t="shared" si="21"/>
        <v>106</v>
      </c>
      <c r="AZ71" s="9">
        <f t="shared" si="21"/>
        <v>-2</v>
      </c>
      <c r="BA71" s="9">
        <f t="shared" si="21"/>
        <v>0</v>
      </c>
      <c r="BB71" s="9">
        <f t="shared" si="21"/>
        <v>0</v>
      </c>
      <c r="BC71" s="9">
        <f t="shared" si="21"/>
        <v>0</v>
      </c>
      <c r="BD71" s="9">
        <f t="shared" si="21"/>
        <v>0</v>
      </c>
      <c r="BE71" s="9">
        <f t="shared" si="21"/>
        <v>2577</v>
      </c>
      <c r="BF71" s="9">
        <f t="shared" si="21"/>
        <v>40042</v>
      </c>
      <c r="BG71" s="9">
        <f t="shared" si="21"/>
        <v>47141</v>
      </c>
      <c r="BH71" s="9">
        <f t="shared" si="21"/>
        <v>-275</v>
      </c>
      <c r="BI71" s="9">
        <f t="shared" si="21"/>
        <v>414</v>
      </c>
      <c r="BJ71" s="9">
        <f t="shared" si="21"/>
        <v>-2407</v>
      </c>
      <c r="BK71" s="9">
        <f t="shared" si="21"/>
        <v>-2525</v>
      </c>
      <c r="BL71" s="9">
        <f t="shared" si="21"/>
        <v>0</v>
      </c>
      <c r="BM71" s="9">
        <f t="shared" si="21"/>
        <v>0</v>
      </c>
      <c r="BN71" s="73">
        <f t="shared" si="18"/>
        <v>61736.899999999965</v>
      </c>
      <c r="BO71" s="73">
        <f t="shared" si="19"/>
        <v>189133.35200000007</v>
      </c>
    </row>
    <row r="72" spans="1:67" x14ac:dyDescent="0.25">
      <c r="A72" s="25" t="s">
        <v>277</v>
      </c>
      <c r="B72" s="9">
        <f t="shared" ref="B72:AG72" si="22">B80-B64-B56-B48-B40-B32-B24-B16-B8</f>
        <v>1</v>
      </c>
      <c r="C72" s="9">
        <f t="shared" si="22"/>
        <v>1</v>
      </c>
      <c r="D72" s="9">
        <f t="shared" si="22"/>
        <v>0</v>
      </c>
      <c r="E72" s="9">
        <f t="shared" si="22"/>
        <v>0</v>
      </c>
      <c r="F72" s="9">
        <f t="shared" si="22"/>
        <v>496308</v>
      </c>
      <c r="G72" s="9">
        <f t="shared" si="22"/>
        <v>2156548</v>
      </c>
      <c r="H72" s="9">
        <f t="shared" si="22"/>
        <v>237208</v>
      </c>
      <c r="I72" s="9">
        <f t="shared" si="22"/>
        <v>1963826</v>
      </c>
      <c r="J72" s="9">
        <f t="shared" si="22"/>
        <v>188383</v>
      </c>
      <c r="K72" s="9">
        <f t="shared" si="22"/>
        <v>632431</v>
      </c>
      <c r="L72" s="9">
        <f t="shared" si="22"/>
        <v>-36243</v>
      </c>
      <c r="M72" s="9">
        <f t="shared" si="22"/>
        <v>-28465</v>
      </c>
      <c r="N72" s="9">
        <f t="shared" si="22"/>
        <v>162783.20000000001</v>
      </c>
      <c r="O72" s="9">
        <f t="shared" si="22"/>
        <v>374864.41</v>
      </c>
      <c r="P72" s="9">
        <f t="shared" si="22"/>
        <v>22</v>
      </c>
      <c r="Q72" s="9">
        <f t="shared" si="22"/>
        <v>362</v>
      </c>
      <c r="R72" s="9">
        <f t="shared" si="22"/>
        <v>146600</v>
      </c>
      <c r="S72" s="9">
        <f t="shared" si="22"/>
        <v>545282</v>
      </c>
      <c r="T72" s="9">
        <f t="shared" si="22"/>
        <v>5371</v>
      </c>
      <c r="U72" s="9">
        <f t="shared" si="22"/>
        <v>59026</v>
      </c>
      <c r="V72" s="9">
        <f t="shared" si="22"/>
        <v>-463735</v>
      </c>
      <c r="W72" s="9">
        <f t="shared" si="22"/>
        <v>-2117825</v>
      </c>
      <c r="X72" s="9">
        <f t="shared" si="22"/>
        <v>115109</v>
      </c>
      <c r="Y72" s="9">
        <f t="shared" si="22"/>
        <v>375889</v>
      </c>
      <c r="Z72" s="9">
        <f t="shared" si="22"/>
        <v>686443</v>
      </c>
      <c r="AA72" s="9">
        <f t="shared" si="22"/>
        <v>1341393</v>
      </c>
      <c r="AB72" s="9">
        <f t="shared" si="22"/>
        <v>4441</v>
      </c>
      <c r="AC72" s="9">
        <f t="shared" si="22"/>
        <v>9403</v>
      </c>
      <c r="AD72" s="9">
        <f t="shared" si="22"/>
        <v>18605</v>
      </c>
      <c r="AE72" s="9">
        <f t="shared" si="22"/>
        <v>59433</v>
      </c>
      <c r="AF72" s="9">
        <f t="shared" si="22"/>
        <v>-47591</v>
      </c>
      <c r="AG72" s="9">
        <f t="shared" si="22"/>
        <v>-69485</v>
      </c>
      <c r="AH72" s="9">
        <f t="shared" ref="AH72:BM72" si="23">AH80-AH64-AH56-AH48-AH40-AH32-AH24-AH16-AH8</f>
        <v>-1</v>
      </c>
      <c r="AI72" s="9">
        <f t="shared" si="23"/>
        <v>0</v>
      </c>
      <c r="AJ72" s="9">
        <f t="shared" si="23"/>
        <v>0</v>
      </c>
      <c r="AK72" s="9">
        <f t="shared" si="23"/>
        <v>0</v>
      </c>
      <c r="AL72" s="9">
        <f t="shared" si="23"/>
        <v>65261.581585060019</v>
      </c>
      <c r="AM72" s="9">
        <f t="shared" si="23"/>
        <v>167932.00299999991</v>
      </c>
      <c r="AN72" s="9">
        <f t="shared" si="23"/>
        <v>-93</v>
      </c>
      <c r="AO72" s="9">
        <f t="shared" si="23"/>
        <v>-456</v>
      </c>
      <c r="AP72" s="9">
        <f t="shared" si="23"/>
        <v>2952</v>
      </c>
      <c r="AQ72" s="9">
        <f t="shared" si="23"/>
        <v>14581</v>
      </c>
      <c r="AR72" s="9">
        <f t="shared" si="23"/>
        <v>656626</v>
      </c>
      <c r="AS72" s="9">
        <f t="shared" si="23"/>
        <v>1689852</v>
      </c>
      <c r="AT72" s="9">
        <f t="shared" si="23"/>
        <v>0</v>
      </c>
      <c r="AU72" s="9">
        <f t="shared" si="23"/>
        <v>0</v>
      </c>
      <c r="AV72" s="9">
        <f t="shared" si="23"/>
        <v>-2267</v>
      </c>
      <c r="AW72" s="9">
        <f t="shared" si="23"/>
        <v>-14534</v>
      </c>
      <c r="AX72" s="9">
        <f t="shared" si="23"/>
        <v>360367</v>
      </c>
      <c r="AY72" s="9">
        <f t="shared" si="23"/>
        <v>1500145</v>
      </c>
      <c r="AZ72" s="9">
        <f t="shared" si="23"/>
        <v>3004</v>
      </c>
      <c r="BA72" s="9">
        <f t="shared" si="23"/>
        <v>7714</v>
      </c>
      <c r="BB72" s="9">
        <f t="shared" si="23"/>
        <v>3322439</v>
      </c>
      <c r="BC72" s="9">
        <f t="shared" si="23"/>
        <v>7249787</v>
      </c>
      <c r="BD72" s="9">
        <f t="shared" si="23"/>
        <v>-44665</v>
      </c>
      <c r="BE72" s="9">
        <f t="shared" si="23"/>
        <v>30099</v>
      </c>
      <c r="BF72" s="9">
        <f t="shared" si="23"/>
        <v>157896</v>
      </c>
      <c r="BG72" s="9">
        <f t="shared" si="23"/>
        <v>361237</v>
      </c>
      <c r="BH72" s="9">
        <f t="shared" si="23"/>
        <v>-15939</v>
      </c>
      <c r="BI72" s="9">
        <f t="shared" si="23"/>
        <v>287377</v>
      </c>
      <c r="BJ72" s="9">
        <f t="shared" si="23"/>
        <v>42230</v>
      </c>
      <c r="BK72" s="9">
        <f t="shared" si="23"/>
        <v>225738</v>
      </c>
      <c r="BL72" s="9">
        <f t="shared" si="23"/>
        <v>129185</v>
      </c>
      <c r="BM72" s="9">
        <f t="shared" si="23"/>
        <v>633524</v>
      </c>
      <c r="BN72" s="73">
        <f t="shared" si="18"/>
        <v>6190700.7815850601</v>
      </c>
      <c r="BO72" s="73">
        <f t="shared" si="19"/>
        <v>17455679.412999999</v>
      </c>
    </row>
    <row r="73" spans="1:67" x14ac:dyDescent="0.25">
      <c r="A73" s="25" t="s">
        <v>226</v>
      </c>
      <c r="B73" s="9">
        <f>B81-B65-B57-B49-B41-B33-B25-B17-B9</f>
        <v>-1</v>
      </c>
      <c r="C73" s="9">
        <f t="shared" ref="C73:AG73" si="24">C81-C65-C57-C49-C41-C33-C25-C17-C9</f>
        <v>-1</v>
      </c>
      <c r="D73" s="9">
        <f t="shared" si="24"/>
        <v>0</v>
      </c>
      <c r="E73" s="9">
        <f t="shared" si="24"/>
        <v>0</v>
      </c>
      <c r="F73" s="9">
        <f t="shared" si="24"/>
        <v>-187051</v>
      </c>
      <c r="G73" s="9">
        <f t="shared" si="24"/>
        <v>-1555119</v>
      </c>
      <c r="H73" s="9">
        <f t="shared" si="24"/>
        <v>-43158</v>
      </c>
      <c r="I73" s="9">
        <f t="shared" si="24"/>
        <v>-1189184</v>
      </c>
      <c r="J73" s="9">
        <f t="shared" si="24"/>
        <v>-172400</v>
      </c>
      <c r="K73" s="9">
        <f t="shared" si="24"/>
        <v>-581138</v>
      </c>
      <c r="L73" s="9">
        <f t="shared" si="24"/>
        <v>52996</v>
      </c>
      <c r="M73" s="9">
        <f t="shared" si="24"/>
        <v>77725</v>
      </c>
      <c r="N73" s="9">
        <f t="shared" si="24"/>
        <v>-92215.79</v>
      </c>
      <c r="O73" s="9">
        <f t="shared" si="24"/>
        <v>-261985.99</v>
      </c>
      <c r="P73" s="9">
        <f t="shared" si="24"/>
        <v>-6</v>
      </c>
      <c r="Q73" s="9">
        <f t="shared" si="24"/>
        <v>133</v>
      </c>
      <c r="R73" s="9">
        <f t="shared" si="24"/>
        <v>-76365</v>
      </c>
      <c r="S73" s="9">
        <f t="shared" si="24"/>
        <v>-329274</v>
      </c>
      <c r="T73" s="9">
        <f t="shared" si="24"/>
        <v>5367</v>
      </c>
      <c r="U73" s="9">
        <f t="shared" si="24"/>
        <v>25039</v>
      </c>
      <c r="V73" s="9">
        <f t="shared" si="24"/>
        <v>-345080</v>
      </c>
      <c r="W73" s="9">
        <f t="shared" si="24"/>
        <v>-1503788</v>
      </c>
      <c r="X73" s="9">
        <f t="shared" si="24"/>
        <v>50547</v>
      </c>
      <c r="Y73" s="9">
        <f t="shared" si="24"/>
        <v>338695</v>
      </c>
      <c r="Z73" s="9">
        <f t="shared" si="24"/>
        <v>-559007</v>
      </c>
      <c r="AA73" s="9">
        <f t="shared" si="24"/>
        <v>-860303</v>
      </c>
      <c r="AB73" s="9">
        <f t="shared" si="24"/>
        <v>-2028</v>
      </c>
      <c r="AC73" s="9">
        <f t="shared" si="24"/>
        <v>4840</v>
      </c>
      <c r="AD73" s="9">
        <f t="shared" si="24"/>
        <v>15364</v>
      </c>
      <c r="AE73" s="9">
        <f t="shared" si="24"/>
        <v>45465</v>
      </c>
      <c r="AF73" s="9">
        <f t="shared" si="24"/>
        <v>-20133</v>
      </c>
      <c r="AG73" s="9">
        <f t="shared" si="24"/>
        <v>-35099</v>
      </c>
      <c r="AH73" s="9">
        <f t="shared" ref="AH73:BM73" si="25">AH81-AH65-AH57-AH49-AH41-AH33-AH25-AH17-AH9</f>
        <v>0</v>
      </c>
      <c r="AI73" s="9">
        <f t="shared" si="25"/>
        <v>0</v>
      </c>
      <c r="AJ73" s="9">
        <f t="shared" si="25"/>
        <v>0</v>
      </c>
      <c r="AK73" s="9">
        <f t="shared" si="25"/>
        <v>0</v>
      </c>
      <c r="AL73" s="9">
        <f t="shared" si="25"/>
        <v>134391.11541493912</v>
      </c>
      <c r="AM73" s="9">
        <f t="shared" si="25"/>
        <v>363753.98300000024</v>
      </c>
      <c r="AN73" s="9">
        <f t="shared" si="25"/>
        <v>76</v>
      </c>
      <c r="AO73" s="9">
        <f t="shared" si="25"/>
        <v>507</v>
      </c>
      <c r="AP73" s="9">
        <f t="shared" si="25"/>
        <v>36681</v>
      </c>
      <c r="AQ73" s="9">
        <f t="shared" si="25"/>
        <v>103017</v>
      </c>
      <c r="AR73" s="9">
        <f t="shared" si="25"/>
        <v>-635038</v>
      </c>
      <c r="AS73" s="9">
        <f t="shared" si="25"/>
        <v>-1623061</v>
      </c>
      <c r="AT73" s="9">
        <f t="shared" si="25"/>
        <v>0</v>
      </c>
      <c r="AU73" s="9">
        <f t="shared" si="25"/>
        <v>0</v>
      </c>
      <c r="AV73" s="9">
        <f t="shared" si="25"/>
        <v>6624</v>
      </c>
      <c r="AW73" s="9">
        <f t="shared" si="25"/>
        <v>7322</v>
      </c>
      <c r="AX73" s="9">
        <f t="shared" si="25"/>
        <v>-232850</v>
      </c>
      <c r="AY73" s="9">
        <f t="shared" si="25"/>
        <v>-1197296</v>
      </c>
      <c r="AZ73" s="9">
        <f t="shared" si="25"/>
        <v>1078</v>
      </c>
      <c r="BA73" s="9">
        <f t="shared" si="25"/>
        <v>5892</v>
      </c>
      <c r="BB73" s="9">
        <f t="shared" si="25"/>
        <v>1126024</v>
      </c>
      <c r="BC73" s="9">
        <f t="shared" si="25"/>
        <v>5857620</v>
      </c>
      <c r="BD73" s="9">
        <f t="shared" si="25"/>
        <v>103425</v>
      </c>
      <c r="BE73" s="9">
        <f t="shared" si="25"/>
        <v>178418</v>
      </c>
      <c r="BF73" s="9">
        <f t="shared" si="25"/>
        <v>356316</v>
      </c>
      <c r="BG73" s="9">
        <f t="shared" si="25"/>
        <v>1465392</v>
      </c>
      <c r="BH73" s="9">
        <f t="shared" si="25"/>
        <v>296911</v>
      </c>
      <c r="BI73" s="9">
        <f t="shared" si="25"/>
        <v>553495</v>
      </c>
      <c r="BJ73" s="9">
        <f t="shared" si="25"/>
        <v>332904</v>
      </c>
      <c r="BK73" s="9">
        <f t="shared" si="25"/>
        <v>751999</v>
      </c>
      <c r="BL73" s="9">
        <f t="shared" si="25"/>
        <v>-100559</v>
      </c>
      <c r="BM73" s="9">
        <f t="shared" si="25"/>
        <v>-542837</v>
      </c>
      <c r="BN73" s="73">
        <f t="shared" si="18"/>
        <v>52812.325414939085</v>
      </c>
      <c r="BO73" s="73">
        <f t="shared" si="19"/>
        <v>100226.99299999978</v>
      </c>
    </row>
    <row r="74" spans="1:67" x14ac:dyDescent="0.25">
      <c r="A74" s="23"/>
    </row>
    <row r="75" spans="1:67" x14ac:dyDescent="0.25">
      <c r="A75" s="24" t="s">
        <v>42</v>
      </c>
    </row>
    <row r="76" spans="1:67" x14ac:dyDescent="0.25">
      <c r="A76" s="3" t="s">
        <v>0</v>
      </c>
      <c r="B76" s="119" t="s">
        <v>1</v>
      </c>
      <c r="C76" s="120"/>
      <c r="D76" s="119" t="s">
        <v>282</v>
      </c>
      <c r="E76" s="120"/>
      <c r="F76" s="119" t="s">
        <v>2</v>
      </c>
      <c r="G76" s="120"/>
      <c r="H76" s="119" t="s">
        <v>3</v>
      </c>
      <c r="I76" s="120"/>
      <c r="J76" s="119" t="s">
        <v>4</v>
      </c>
      <c r="K76" s="120"/>
      <c r="L76" s="119" t="s">
        <v>283</v>
      </c>
      <c r="M76" s="120"/>
      <c r="N76" s="119" t="s">
        <v>6</v>
      </c>
      <c r="O76" s="120"/>
      <c r="P76" s="119" t="s">
        <v>5</v>
      </c>
      <c r="Q76" s="120"/>
      <c r="R76" s="119" t="s">
        <v>7</v>
      </c>
      <c r="S76" s="120"/>
      <c r="T76" s="119" t="s">
        <v>284</v>
      </c>
      <c r="U76" s="120"/>
      <c r="V76" s="119" t="s">
        <v>8</v>
      </c>
      <c r="W76" s="120"/>
      <c r="X76" s="119" t="s">
        <v>9</v>
      </c>
      <c r="Y76" s="120"/>
      <c r="Z76" s="119" t="s">
        <v>10</v>
      </c>
      <c r="AA76" s="120"/>
      <c r="AB76" s="119" t="s">
        <v>293</v>
      </c>
      <c r="AC76" s="120"/>
      <c r="AD76" s="119" t="s">
        <v>11</v>
      </c>
      <c r="AE76" s="120"/>
      <c r="AF76" s="119" t="s">
        <v>12</v>
      </c>
      <c r="AG76" s="120"/>
      <c r="AH76" s="119" t="s">
        <v>285</v>
      </c>
      <c r="AI76" s="120"/>
      <c r="AJ76" s="119" t="s">
        <v>290</v>
      </c>
      <c r="AK76" s="120"/>
      <c r="AL76" s="119" t="s">
        <v>13</v>
      </c>
      <c r="AM76" s="120"/>
      <c r="AN76" s="119" t="s">
        <v>286</v>
      </c>
      <c r="AO76" s="120"/>
      <c r="AP76" s="119" t="s">
        <v>287</v>
      </c>
      <c r="AQ76" s="120"/>
      <c r="AR76" s="119" t="s">
        <v>291</v>
      </c>
      <c r="AS76" s="120"/>
      <c r="AT76" s="119" t="s">
        <v>294</v>
      </c>
      <c r="AU76" s="120"/>
      <c r="AV76" s="119" t="s">
        <v>14</v>
      </c>
      <c r="AW76" s="120"/>
      <c r="AX76" s="119" t="s">
        <v>15</v>
      </c>
      <c r="AY76" s="120"/>
      <c r="AZ76" s="119" t="s">
        <v>16</v>
      </c>
      <c r="BA76" s="120"/>
      <c r="BB76" s="119" t="s">
        <v>17</v>
      </c>
      <c r="BC76" s="120"/>
      <c r="BD76" s="119" t="s">
        <v>18</v>
      </c>
      <c r="BE76" s="120"/>
      <c r="BF76" s="119" t="s">
        <v>288</v>
      </c>
      <c r="BG76" s="120"/>
      <c r="BH76" s="119" t="s">
        <v>289</v>
      </c>
      <c r="BI76" s="120"/>
      <c r="BJ76" s="119" t="s">
        <v>19</v>
      </c>
      <c r="BK76" s="120"/>
      <c r="BL76" s="119" t="s">
        <v>20</v>
      </c>
      <c r="BM76" s="120"/>
      <c r="BN76" s="121" t="s">
        <v>21</v>
      </c>
      <c r="BO76" s="122"/>
    </row>
    <row r="77" spans="1:67" ht="30" x14ac:dyDescent="0.25">
      <c r="A77" s="3"/>
      <c r="B77" s="57" t="s">
        <v>296</v>
      </c>
      <c r="C77" s="58" t="s">
        <v>297</v>
      </c>
      <c r="D77" s="57" t="s">
        <v>296</v>
      </c>
      <c r="E77" s="58" t="s">
        <v>297</v>
      </c>
      <c r="F77" s="57" t="s">
        <v>296</v>
      </c>
      <c r="G77" s="58" t="s">
        <v>297</v>
      </c>
      <c r="H77" s="57" t="s">
        <v>296</v>
      </c>
      <c r="I77" s="58" t="s">
        <v>297</v>
      </c>
      <c r="J77" s="57" t="s">
        <v>296</v>
      </c>
      <c r="K77" s="58" t="s">
        <v>297</v>
      </c>
      <c r="L77" s="57" t="s">
        <v>296</v>
      </c>
      <c r="M77" s="58" t="s">
        <v>297</v>
      </c>
      <c r="N77" s="57" t="s">
        <v>296</v>
      </c>
      <c r="O77" s="58" t="s">
        <v>297</v>
      </c>
      <c r="P77" s="57" t="s">
        <v>296</v>
      </c>
      <c r="Q77" s="58" t="s">
        <v>297</v>
      </c>
      <c r="R77" s="57" t="s">
        <v>296</v>
      </c>
      <c r="S77" s="58" t="s">
        <v>297</v>
      </c>
      <c r="T77" s="57" t="s">
        <v>296</v>
      </c>
      <c r="U77" s="58" t="s">
        <v>297</v>
      </c>
      <c r="V77" s="57" t="s">
        <v>296</v>
      </c>
      <c r="W77" s="58" t="s">
        <v>297</v>
      </c>
      <c r="X77" s="57" t="s">
        <v>296</v>
      </c>
      <c r="Y77" s="58" t="s">
        <v>297</v>
      </c>
      <c r="Z77" s="57" t="s">
        <v>296</v>
      </c>
      <c r="AA77" s="58" t="s">
        <v>297</v>
      </c>
      <c r="AB77" s="57" t="s">
        <v>296</v>
      </c>
      <c r="AC77" s="58" t="s">
        <v>297</v>
      </c>
      <c r="AD77" s="57" t="s">
        <v>296</v>
      </c>
      <c r="AE77" s="58" t="s">
        <v>297</v>
      </c>
      <c r="AF77" s="57" t="s">
        <v>296</v>
      </c>
      <c r="AG77" s="58" t="s">
        <v>297</v>
      </c>
      <c r="AH77" s="57" t="s">
        <v>296</v>
      </c>
      <c r="AI77" s="58" t="s">
        <v>297</v>
      </c>
      <c r="AJ77" s="57" t="s">
        <v>296</v>
      </c>
      <c r="AK77" s="58" t="s">
        <v>297</v>
      </c>
      <c r="AL77" s="57" t="s">
        <v>296</v>
      </c>
      <c r="AM77" s="58" t="s">
        <v>297</v>
      </c>
      <c r="AN77" s="57" t="s">
        <v>296</v>
      </c>
      <c r="AO77" s="58" t="s">
        <v>297</v>
      </c>
      <c r="AP77" s="57" t="s">
        <v>296</v>
      </c>
      <c r="AQ77" s="58" t="s">
        <v>297</v>
      </c>
      <c r="AR77" s="57" t="s">
        <v>296</v>
      </c>
      <c r="AS77" s="58" t="s">
        <v>297</v>
      </c>
      <c r="AT77" s="57" t="s">
        <v>296</v>
      </c>
      <c r="AU77" s="58" t="s">
        <v>297</v>
      </c>
      <c r="AV77" s="57" t="s">
        <v>296</v>
      </c>
      <c r="AW77" s="58" t="s">
        <v>297</v>
      </c>
      <c r="AX77" s="57" t="s">
        <v>296</v>
      </c>
      <c r="AY77" s="58" t="s">
        <v>297</v>
      </c>
      <c r="AZ77" s="57" t="s">
        <v>296</v>
      </c>
      <c r="BA77" s="58" t="s">
        <v>297</v>
      </c>
      <c r="BB77" s="57" t="s">
        <v>296</v>
      </c>
      <c r="BC77" s="58" t="s">
        <v>297</v>
      </c>
      <c r="BD77" s="57" t="s">
        <v>296</v>
      </c>
      <c r="BE77" s="58" t="s">
        <v>297</v>
      </c>
      <c r="BF77" s="57" t="s">
        <v>296</v>
      </c>
      <c r="BG77" s="58" t="s">
        <v>297</v>
      </c>
      <c r="BH77" s="57" t="s">
        <v>296</v>
      </c>
      <c r="BI77" s="58" t="s">
        <v>297</v>
      </c>
      <c r="BJ77" s="57" t="s">
        <v>296</v>
      </c>
      <c r="BK77" s="58" t="s">
        <v>297</v>
      </c>
      <c r="BL77" s="57" t="s">
        <v>296</v>
      </c>
      <c r="BM77" s="58" t="s">
        <v>297</v>
      </c>
      <c r="BN77" s="57" t="s">
        <v>296</v>
      </c>
      <c r="BO77" s="58" t="s">
        <v>297</v>
      </c>
    </row>
    <row r="78" spans="1:67" x14ac:dyDescent="0.25">
      <c r="A78" s="25" t="s">
        <v>225</v>
      </c>
      <c r="B78" s="84">
        <v>28658</v>
      </c>
      <c r="C78" s="84">
        <v>77640</v>
      </c>
      <c r="D78" s="84">
        <v>563179</v>
      </c>
      <c r="E78" s="84">
        <v>1637861</v>
      </c>
      <c r="F78" s="103">
        <v>309257</v>
      </c>
      <c r="G78" s="103">
        <v>601451</v>
      </c>
      <c r="H78" s="84">
        <v>2259670</v>
      </c>
      <c r="I78" s="84">
        <v>7953889</v>
      </c>
      <c r="J78" s="84">
        <v>673884</v>
      </c>
      <c r="K78" s="84">
        <v>2397501</v>
      </c>
      <c r="L78" s="84">
        <v>1140682</v>
      </c>
      <c r="M78" s="84">
        <v>3552975</v>
      </c>
      <c r="N78" s="103">
        <v>70567.41</v>
      </c>
      <c r="O78" s="103">
        <v>112878.42</v>
      </c>
      <c r="P78" s="84">
        <v>55710</v>
      </c>
      <c r="Q78" s="84">
        <v>192672</v>
      </c>
      <c r="R78" s="84">
        <v>646007</v>
      </c>
      <c r="S78" s="84">
        <v>2180636</v>
      </c>
      <c r="T78" s="84">
        <v>329918</v>
      </c>
      <c r="U78" s="84">
        <v>1134909</v>
      </c>
      <c r="V78" s="84">
        <v>2990663</v>
      </c>
      <c r="W78" s="84">
        <v>10292879</v>
      </c>
      <c r="X78" s="84">
        <v>3151285</v>
      </c>
      <c r="Y78" s="84">
        <v>12833733</v>
      </c>
      <c r="Z78" s="84">
        <v>1853808</v>
      </c>
      <c r="AA78" s="84">
        <v>6432141</v>
      </c>
      <c r="AB78" s="84">
        <v>131854</v>
      </c>
      <c r="AC78" s="84">
        <v>451274</v>
      </c>
      <c r="AD78" s="84">
        <v>458428</v>
      </c>
      <c r="AE78" s="84">
        <v>1586409</v>
      </c>
      <c r="AF78" s="84">
        <v>274617</v>
      </c>
      <c r="AG78" s="84">
        <v>817515</v>
      </c>
      <c r="AH78" s="74">
        <v>279596</v>
      </c>
      <c r="AI78" s="25">
        <v>899413</v>
      </c>
      <c r="AJ78" s="84">
        <v>772814</v>
      </c>
      <c r="AK78" s="84">
        <v>2171628</v>
      </c>
      <c r="AL78" s="9">
        <v>3543737.0323399995</v>
      </c>
      <c r="AM78" s="9">
        <v>10736069.604359999</v>
      </c>
      <c r="AN78" s="84">
        <v>39035</v>
      </c>
      <c r="AO78" s="84">
        <v>104424</v>
      </c>
      <c r="AP78" s="84">
        <v>114601</v>
      </c>
      <c r="AQ78" s="84">
        <v>346406</v>
      </c>
      <c r="AR78" s="9">
        <v>1218325</v>
      </c>
      <c r="AS78" s="9">
        <v>4347814</v>
      </c>
      <c r="AT78" s="84">
        <v>1093468</v>
      </c>
      <c r="AU78" s="84">
        <v>3532365</v>
      </c>
      <c r="AV78" s="84">
        <v>774408</v>
      </c>
      <c r="AW78" s="84">
        <v>2882892</v>
      </c>
      <c r="AX78" s="84">
        <v>1971141</v>
      </c>
      <c r="AY78" s="84">
        <v>5734664</v>
      </c>
      <c r="AZ78" s="84">
        <v>317258</v>
      </c>
      <c r="BA78" s="84">
        <v>1212799</v>
      </c>
      <c r="BB78" s="84">
        <v>4448463</v>
      </c>
      <c r="BC78" s="84">
        <v>13107407</v>
      </c>
      <c r="BD78" s="103">
        <v>2147381</v>
      </c>
      <c r="BE78" s="103">
        <v>7885885</v>
      </c>
      <c r="BF78" s="84">
        <v>6762041</v>
      </c>
      <c r="BG78" s="84">
        <v>26569012</v>
      </c>
      <c r="BH78" s="103">
        <v>3121706</v>
      </c>
      <c r="BI78" s="103">
        <v>10095947</v>
      </c>
      <c r="BJ78" s="103">
        <v>3231973</v>
      </c>
      <c r="BK78" s="103">
        <v>10761320</v>
      </c>
      <c r="BL78" s="103">
        <v>352081</v>
      </c>
      <c r="BM78" s="103">
        <v>1450731</v>
      </c>
      <c r="BN78" s="73">
        <f t="shared" ref="BN78:BN81" si="26">SUM(B78+D78+F78+H78+J78+L78+N78+P78+R78+T78+V78+X78+Z78+AB78+AD78+AF78+AH78+AJ78+AL78+AN78+AP78+AR78+AT78+AV78+AX78+AZ78+BB78+BD78+BF78+BH78+BJ78+BL78)</f>
        <v>45126215.442340001</v>
      </c>
      <c r="BO78" s="73">
        <f t="shared" ref="BO78:BO81" si="27">SUM(C78+E78+G78+I78+K78+M78+O78+Q78+S78+U78+W78+Y78+AA78+AC78+AE78+AG78+AI78+AK78+AM78+AO78+AQ78+AS78+AU78+AW78+AY78+BA78+BC78+BE78+BG78+BI78+BK78+BM78)</f>
        <v>154095140.02436</v>
      </c>
    </row>
    <row r="79" spans="1:67" x14ac:dyDescent="0.25">
      <c r="A79" s="25" t="s">
        <v>276</v>
      </c>
      <c r="B79" s="84"/>
      <c r="C79" s="84"/>
      <c r="D79" s="84"/>
      <c r="E79" s="84"/>
      <c r="F79" s="103">
        <v>0</v>
      </c>
      <c r="G79" s="103">
        <v>-22</v>
      </c>
      <c r="H79" s="84">
        <v>14427</v>
      </c>
      <c r="I79" s="84">
        <v>59765</v>
      </c>
      <c r="J79" s="84">
        <v>2793</v>
      </c>
      <c r="K79" s="84">
        <v>17077</v>
      </c>
      <c r="L79" s="84">
        <v>577</v>
      </c>
      <c r="M79" s="84">
        <v>3024</v>
      </c>
      <c r="N79" s="103"/>
      <c r="O79" s="103"/>
      <c r="P79" s="84">
        <v>2392</v>
      </c>
      <c r="Q79" s="84">
        <v>9511</v>
      </c>
      <c r="R79" s="84">
        <v>3724</v>
      </c>
      <c r="S79" s="84">
        <v>53643</v>
      </c>
      <c r="T79" s="84">
        <v>130401</v>
      </c>
      <c r="U79" s="84">
        <v>645584</v>
      </c>
      <c r="V79" s="84">
        <v>14665</v>
      </c>
      <c r="W79" s="84">
        <v>119321</v>
      </c>
      <c r="X79" s="84">
        <v>65189</v>
      </c>
      <c r="Y79" s="84">
        <v>395898</v>
      </c>
      <c r="Z79" s="84">
        <v>6196</v>
      </c>
      <c r="AA79" s="84">
        <v>64510</v>
      </c>
      <c r="AB79" s="84">
        <v>1378</v>
      </c>
      <c r="AC79" s="84">
        <v>2358</v>
      </c>
      <c r="AD79" s="84">
        <v>-76</v>
      </c>
      <c r="AE79" s="84">
        <v>4549</v>
      </c>
      <c r="AF79" s="84">
        <v>4550</v>
      </c>
      <c r="AG79" s="84">
        <v>41430</v>
      </c>
      <c r="AH79" s="74"/>
      <c r="AI79" s="25"/>
      <c r="AJ79" s="84"/>
      <c r="AK79" s="84"/>
      <c r="AL79" s="9">
        <v>325290.72100000002</v>
      </c>
      <c r="AM79" s="9">
        <v>482421.60100000002</v>
      </c>
      <c r="AN79" s="84">
        <v>133</v>
      </c>
      <c r="AO79" s="84">
        <v>672</v>
      </c>
      <c r="AP79" s="84">
        <v>20761</v>
      </c>
      <c r="AQ79" s="84">
        <v>39893</v>
      </c>
      <c r="AR79" s="9">
        <v>7774</v>
      </c>
      <c r="AS79" s="9">
        <v>42667</v>
      </c>
      <c r="AT79" s="84">
        <v>602</v>
      </c>
      <c r="AU79" s="84">
        <v>2776</v>
      </c>
      <c r="AV79" s="84">
        <v>9007</v>
      </c>
      <c r="AW79" s="84">
        <v>61313</v>
      </c>
      <c r="AX79" s="84">
        <v>5220</v>
      </c>
      <c r="AY79" s="84">
        <v>25558</v>
      </c>
      <c r="AZ79" s="84">
        <v>1332</v>
      </c>
      <c r="BA79" s="84">
        <v>8050</v>
      </c>
      <c r="BB79" s="84"/>
      <c r="BC79" s="84"/>
      <c r="BD79" s="103">
        <v>208735</v>
      </c>
      <c r="BE79" s="103">
        <v>365593</v>
      </c>
      <c r="BF79" s="84">
        <v>740714</v>
      </c>
      <c r="BG79" s="84">
        <v>2376001</v>
      </c>
      <c r="BH79" s="103">
        <v>167766</v>
      </c>
      <c r="BI79" s="103">
        <v>826019</v>
      </c>
      <c r="BJ79" s="103">
        <v>24309</v>
      </c>
      <c r="BK79" s="103">
        <v>177214</v>
      </c>
      <c r="BL79" s="103">
        <v>661</v>
      </c>
      <c r="BM79" s="103">
        <v>3357</v>
      </c>
      <c r="BN79" s="73">
        <f t="shared" si="26"/>
        <v>1758520.7209999999</v>
      </c>
      <c r="BO79" s="73">
        <f t="shared" si="27"/>
        <v>5828182.6009999998</v>
      </c>
    </row>
    <row r="80" spans="1:67" x14ac:dyDescent="0.25">
      <c r="A80" s="25" t="s">
        <v>277</v>
      </c>
      <c r="B80" s="84">
        <v>57923</v>
      </c>
      <c r="C80" s="84">
        <v>182236</v>
      </c>
      <c r="D80" s="84">
        <v>525441</v>
      </c>
      <c r="E80" s="84">
        <v>1142931</v>
      </c>
      <c r="F80" s="103">
        <v>496308</v>
      </c>
      <c r="G80" s="103">
        <v>2156548</v>
      </c>
      <c r="H80" s="84">
        <v>1567297</v>
      </c>
      <c r="I80" s="84">
        <v>7519928</v>
      </c>
      <c r="J80" s="84">
        <v>593908</v>
      </c>
      <c r="K80" s="84">
        <v>1645666</v>
      </c>
      <c r="L80" s="84">
        <v>859582</v>
      </c>
      <c r="M80" s="84">
        <v>3007354</v>
      </c>
      <c r="N80" s="103">
        <v>162783.20000000001</v>
      </c>
      <c r="O80" s="103">
        <v>374864.41</v>
      </c>
      <c r="P80" s="84">
        <v>40648</v>
      </c>
      <c r="Q80" s="84">
        <v>79655</v>
      </c>
      <c r="R80" s="84">
        <v>367471</v>
      </c>
      <c r="S80" s="84">
        <v>1405268</v>
      </c>
      <c r="T80" s="84">
        <v>310555</v>
      </c>
      <c r="U80" s="84">
        <v>1102820</v>
      </c>
      <c r="V80" s="84">
        <v>-3630463</v>
      </c>
      <c r="W80" s="84">
        <v>-12395543</v>
      </c>
      <c r="X80" s="84">
        <v>2118604</v>
      </c>
      <c r="Y80" s="84">
        <v>7220291</v>
      </c>
      <c r="Z80" s="84">
        <v>1280028</v>
      </c>
      <c r="AA80" s="84">
        <v>4365018</v>
      </c>
      <c r="AB80" s="84">
        <v>54979</v>
      </c>
      <c r="AC80" s="84">
        <v>160247</v>
      </c>
      <c r="AD80" s="84">
        <v>125298</v>
      </c>
      <c r="AE80" s="84">
        <v>344003</v>
      </c>
      <c r="AF80" s="84">
        <v>-449321</v>
      </c>
      <c r="AG80" s="84">
        <v>-1411469</v>
      </c>
      <c r="AH80" s="74">
        <v>29797</v>
      </c>
      <c r="AI80" s="25">
        <v>78225</v>
      </c>
      <c r="AJ80" s="84">
        <v>483437</v>
      </c>
      <c r="AK80" s="84">
        <v>1536821</v>
      </c>
      <c r="AL80" s="9">
        <v>482637.77400000003</v>
      </c>
      <c r="AM80" s="9">
        <v>1544171.906</v>
      </c>
      <c r="AN80" s="84">
        <v>-18484</v>
      </c>
      <c r="AO80" s="84">
        <v>-48768</v>
      </c>
      <c r="AP80" s="84">
        <v>15392</v>
      </c>
      <c r="AQ80" s="84">
        <v>51722</v>
      </c>
      <c r="AR80" s="9">
        <v>1882515</v>
      </c>
      <c r="AS80" s="9">
        <v>6191828</v>
      </c>
      <c r="AT80" s="84">
        <v>950450</v>
      </c>
      <c r="AU80" s="84">
        <v>3269054</v>
      </c>
      <c r="AV80" s="84">
        <v>-368681</v>
      </c>
      <c r="AW80" s="84">
        <v>-1538553</v>
      </c>
      <c r="AX80" s="84">
        <v>1920493</v>
      </c>
      <c r="AY80" s="84">
        <v>7228212</v>
      </c>
      <c r="AZ80" s="84">
        <v>34656</v>
      </c>
      <c r="BA80" s="84">
        <v>129081</v>
      </c>
      <c r="BB80" s="84">
        <v>3322439</v>
      </c>
      <c r="BC80" s="84">
        <v>7249787</v>
      </c>
      <c r="BD80" s="103">
        <v>1317169</v>
      </c>
      <c r="BE80" s="103">
        <v>5421882</v>
      </c>
      <c r="BF80" s="84">
        <v>1275870</v>
      </c>
      <c r="BG80" s="84">
        <v>4279424</v>
      </c>
      <c r="BH80" s="103">
        <v>347104</v>
      </c>
      <c r="BI80" s="103">
        <v>1906793</v>
      </c>
      <c r="BJ80" s="103">
        <v>391997</v>
      </c>
      <c r="BK80" s="103">
        <v>1755229</v>
      </c>
      <c r="BL80" s="103">
        <v>352442</v>
      </c>
      <c r="BM80" s="103">
        <v>1087262</v>
      </c>
      <c r="BN80" s="73">
        <f t="shared" si="26"/>
        <v>16900274.973999999</v>
      </c>
      <c r="BO80" s="73">
        <f t="shared" si="27"/>
        <v>57041988.316</v>
      </c>
    </row>
    <row r="81" spans="1:67" x14ac:dyDescent="0.25">
      <c r="A81" s="25" t="s">
        <v>226</v>
      </c>
      <c r="B81" s="84">
        <v>-29265</v>
      </c>
      <c r="C81" s="84">
        <v>-104596</v>
      </c>
      <c r="D81" s="84">
        <v>37738</v>
      </c>
      <c r="E81" s="84">
        <v>494930</v>
      </c>
      <c r="F81" s="103">
        <v>-187051</v>
      </c>
      <c r="G81" s="103">
        <v>-1555119</v>
      </c>
      <c r="H81" s="84">
        <v>706800</v>
      </c>
      <c r="I81" s="84">
        <v>493726</v>
      </c>
      <c r="J81" s="84">
        <v>82769</v>
      </c>
      <c r="K81" s="84">
        <v>768912</v>
      </c>
      <c r="L81" s="84">
        <v>281677</v>
      </c>
      <c r="M81" s="84">
        <v>548645</v>
      </c>
      <c r="N81" s="103">
        <v>-92215.79</v>
      </c>
      <c r="O81" s="103">
        <v>-261985.99</v>
      </c>
      <c r="P81" s="84">
        <v>17454</v>
      </c>
      <c r="Q81" s="84">
        <v>122528</v>
      </c>
      <c r="R81" s="84">
        <v>282260</v>
      </c>
      <c r="S81" s="84">
        <v>829011</v>
      </c>
      <c r="T81" s="84">
        <v>149763</v>
      </c>
      <c r="U81" s="84">
        <v>677673</v>
      </c>
      <c r="V81" s="84">
        <v>-625135</v>
      </c>
      <c r="W81" s="84">
        <v>-1983344</v>
      </c>
      <c r="X81" s="84">
        <v>1097870</v>
      </c>
      <c r="Y81" s="84">
        <v>6009340</v>
      </c>
      <c r="Z81" s="84">
        <v>579976</v>
      </c>
      <c r="AA81" s="84">
        <v>2131633</v>
      </c>
      <c r="AB81" s="84">
        <v>78253</v>
      </c>
      <c r="AC81" s="84">
        <v>293385</v>
      </c>
      <c r="AD81" s="84">
        <v>333054</v>
      </c>
      <c r="AE81" s="84">
        <v>1246955</v>
      </c>
      <c r="AF81" s="84">
        <v>-170154</v>
      </c>
      <c r="AG81" s="84">
        <v>-552524</v>
      </c>
      <c r="AH81" s="74">
        <v>249799</v>
      </c>
      <c r="AI81" s="25">
        <v>821188</v>
      </c>
      <c r="AJ81" s="84">
        <v>289377</v>
      </c>
      <c r="AK81" s="84">
        <v>634807</v>
      </c>
      <c r="AL81" s="9">
        <v>3386389.9793399991</v>
      </c>
      <c r="AM81" s="9">
        <v>9674319.2993599996</v>
      </c>
      <c r="AN81" s="84">
        <v>20684</v>
      </c>
      <c r="AO81" s="84">
        <v>56328</v>
      </c>
      <c r="AP81" s="84">
        <v>119970</v>
      </c>
      <c r="AQ81" s="84">
        <v>334577</v>
      </c>
      <c r="AR81" s="9">
        <v>-656416</v>
      </c>
      <c r="AS81" s="9">
        <v>-1801347</v>
      </c>
      <c r="AT81" s="84">
        <v>143620</v>
      </c>
      <c r="AU81" s="84">
        <v>266087</v>
      </c>
      <c r="AV81" s="84">
        <v>414734</v>
      </c>
      <c r="AW81" s="84">
        <v>1405652</v>
      </c>
      <c r="AX81" s="84">
        <v>55868</v>
      </c>
      <c r="AY81" s="84">
        <v>-1467990</v>
      </c>
      <c r="AZ81" s="84">
        <v>283933</v>
      </c>
      <c r="BA81" s="84">
        <v>1091768</v>
      </c>
      <c r="BB81" s="84">
        <v>1126024</v>
      </c>
      <c r="BC81" s="84">
        <v>5857620</v>
      </c>
      <c r="BD81" s="103">
        <v>1038947</v>
      </c>
      <c r="BE81" s="103">
        <v>2829596</v>
      </c>
      <c r="BF81" s="84">
        <v>6226885</v>
      </c>
      <c r="BG81" s="84">
        <v>24665590</v>
      </c>
      <c r="BH81" s="103">
        <v>2942368</v>
      </c>
      <c r="BI81" s="103">
        <v>9015173</v>
      </c>
      <c r="BJ81" s="103">
        <v>2864285</v>
      </c>
      <c r="BK81" s="103">
        <v>9183305</v>
      </c>
      <c r="BL81" s="103">
        <v>300</v>
      </c>
      <c r="BM81" s="103">
        <v>366826</v>
      </c>
      <c r="BN81" s="73">
        <f t="shared" si="26"/>
        <v>21050561.189339999</v>
      </c>
      <c r="BO81" s="73">
        <f t="shared" si="27"/>
        <v>72092668.309359998</v>
      </c>
    </row>
  </sheetData>
  <mergeCells count="330">
    <mergeCell ref="J4:K4"/>
    <mergeCell ref="L4:M4"/>
    <mergeCell ref="AT4:AU4"/>
    <mergeCell ref="X4:Y4"/>
    <mergeCell ref="Z4:AA4"/>
    <mergeCell ref="AB4:AC4"/>
    <mergeCell ref="AD4:AE4"/>
    <mergeCell ref="AF4:AG4"/>
    <mergeCell ref="AH4:AI4"/>
    <mergeCell ref="N4:O4"/>
    <mergeCell ref="P4:Q4"/>
    <mergeCell ref="R4:S4"/>
    <mergeCell ref="T4:U4"/>
    <mergeCell ref="V4:W4"/>
    <mergeCell ref="BH4:BI4"/>
    <mergeCell ref="BJ4:BK4"/>
    <mergeCell ref="BL4:BM4"/>
    <mergeCell ref="BN4:BO4"/>
    <mergeCell ref="B12:C12"/>
    <mergeCell ref="D12:E12"/>
    <mergeCell ref="F12:G12"/>
    <mergeCell ref="H12:I12"/>
    <mergeCell ref="J12:K12"/>
    <mergeCell ref="AV4:AW4"/>
    <mergeCell ref="AX4:AY4"/>
    <mergeCell ref="AZ4:BA4"/>
    <mergeCell ref="BB4:BC4"/>
    <mergeCell ref="BD4:BE4"/>
    <mergeCell ref="BF4:BG4"/>
    <mergeCell ref="AJ4:AK4"/>
    <mergeCell ref="AL4:AM4"/>
    <mergeCell ref="AN4:AO4"/>
    <mergeCell ref="AP4:AQ4"/>
    <mergeCell ref="AR4:AS4"/>
    <mergeCell ref="B4:C4"/>
    <mergeCell ref="D4:E4"/>
    <mergeCell ref="F4:G4"/>
    <mergeCell ref="H4:I4"/>
    <mergeCell ref="BL12:BM12"/>
    <mergeCell ref="BN12:BO12"/>
    <mergeCell ref="AT12:AU12"/>
    <mergeCell ref="AV12:AW12"/>
    <mergeCell ref="AX12:AY12"/>
    <mergeCell ref="AZ12:BA12"/>
    <mergeCell ref="BB12:BC12"/>
    <mergeCell ref="BD12:BE12"/>
    <mergeCell ref="R12:S12"/>
    <mergeCell ref="T12:U12"/>
    <mergeCell ref="V12:W12"/>
    <mergeCell ref="B20:C20"/>
    <mergeCell ref="D20:E20"/>
    <mergeCell ref="F20:G20"/>
    <mergeCell ref="H20:I20"/>
    <mergeCell ref="J20:K20"/>
    <mergeCell ref="L20:M20"/>
    <mergeCell ref="BF12:BG12"/>
    <mergeCell ref="BH12:BI12"/>
    <mergeCell ref="BJ12:BK12"/>
    <mergeCell ref="AH12:AI12"/>
    <mergeCell ref="AJ12:AK12"/>
    <mergeCell ref="AL12:AM12"/>
    <mergeCell ref="AN12:AO12"/>
    <mergeCell ref="AP12:AQ12"/>
    <mergeCell ref="AR12:AS12"/>
    <mergeCell ref="X12:Y12"/>
    <mergeCell ref="Z12:AA12"/>
    <mergeCell ref="AB12:AC12"/>
    <mergeCell ref="AD12:AE12"/>
    <mergeCell ref="AF12:AG12"/>
    <mergeCell ref="L12:M12"/>
    <mergeCell ref="N12:O12"/>
    <mergeCell ref="P12:Q12"/>
    <mergeCell ref="AD20:AE20"/>
    <mergeCell ref="AF20:AG20"/>
    <mergeCell ref="AH20:AI20"/>
    <mergeCell ref="N20:O20"/>
    <mergeCell ref="P20:Q20"/>
    <mergeCell ref="R20:S20"/>
    <mergeCell ref="T20:U20"/>
    <mergeCell ref="V20:W20"/>
    <mergeCell ref="BH20:BI20"/>
    <mergeCell ref="BJ20:BK20"/>
    <mergeCell ref="BL20:BM20"/>
    <mergeCell ref="BN20:BO20"/>
    <mergeCell ref="B28:C28"/>
    <mergeCell ref="D28:E28"/>
    <mergeCell ref="F28:G28"/>
    <mergeCell ref="H28:I28"/>
    <mergeCell ref="J28:K28"/>
    <mergeCell ref="AV20:AW20"/>
    <mergeCell ref="AX20:AY20"/>
    <mergeCell ref="AZ20:BA20"/>
    <mergeCell ref="BB20:BC20"/>
    <mergeCell ref="BD20:BE20"/>
    <mergeCell ref="BF20:BG20"/>
    <mergeCell ref="AJ20:AK20"/>
    <mergeCell ref="AL20:AM20"/>
    <mergeCell ref="AN20:AO20"/>
    <mergeCell ref="AP20:AQ20"/>
    <mergeCell ref="AR20:AS20"/>
    <mergeCell ref="AT20:AU20"/>
    <mergeCell ref="X20:Y20"/>
    <mergeCell ref="Z20:AA20"/>
    <mergeCell ref="AB20:AC20"/>
    <mergeCell ref="BL28:BM28"/>
    <mergeCell ref="BN28:BO28"/>
    <mergeCell ref="AT28:AU28"/>
    <mergeCell ref="AV28:AW28"/>
    <mergeCell ref="AX28:AY28"/>
    <mergeCell ref="AZ28:BA28"/>
    <mergeCell ref="BB28:BC28"/>
    <mergeCell ref="BD28:BE28"/>
    <mergeCell ref="R28:S28"/>
    <mergeCell ref="T28:U28"/>
    <mergeCell ref="V28:W28"/>
    <mergeCell ref="B36:C36"/>
    <mergeCell ref="D36:E36"/>
    <mergeCell ref="F36:G36"/>
    <mergeCell ref="H36:I36"/>
    <mergeCell ref="J36:K36"/>
    <mergeCell ref="L36:M36"/>
    <mergeCell ref="BF28:BG28"/>
    <mergeCell ref="BH28:BI28"/>
    <mergeCell ref="BJ28:BK28"/>
    <mergeCell ref="AH28:AI28"/>
    <mergeCell ref="AJ28:AK28"/>
    <mergeCell ref="AL28:AM28"/>
    <mergeCell ref="AN28:AO28"/>
    <mergeCell ref="AP28:AQ28"/>
    <mergeCell ref="AR28:AS28"/>
    <mergeCell ref="X28:Y28"/>
    <mergeCell ref="Z28:AA28"/>
    <mergeCell ref="AB28:AC28"/>
    <mergeCell ref="AD28:AE28"/>
    <mergeCell ref="AF28:AG28"/>
    <mergeCell ref="L28:M28"/>
    <mergeCell ref="N28:O28"/>
    <mergeCell ref="P28:Q28"/>
    <mergeCell ref="AD36:AE36"/>
    <mergeCell ref="AF36:AG36"/>
    <mergeCell ref="AH36:AI36"/>
    <mergeCell ref="N36:O36"/>
    <mergeCell ref="P36:Q36"/>
    <mergeCell ref="R36:S36"/>
    <mergeCell ref="T36:U36"/>
    <mergeCell ref="V36:W36"/>
    <mergeCell ref="BH36:BI36"/>
    <mergeCell ref="BJ36:BK36"/>
    <mergeCell ref="BL36:BM36"/>
    <mergeCell ref="BN36:BO36"/>
    <mergeCell ref="B44:C44"/>
    <mergeCell ref="D44:E44"/>
    <mergeCell ref="F44:G44"/>
    <mergeCell ref="H44:I44"/>
    <mergeCell ref="J44:K44"/>
    <mergeCell ref="AV36:AW36"/>
    <mergeCell ref="AX36:AY36"/>
    <mergeCell ref="AZ36:BA36"/>
    <mergeCell ref="BB36:BC36"/>
    <mergeCell ref="BD36:BE36"/>
    <mergeCell ref="BF36:BG36"/>
    <mergeCell ref="AJ36:AK36"/>
    <mergeCell ref="AL36:AM36"/>
    <mergeCell ref="AN36:AO36"/>
    <mergeCell ref="AP36:AQ36"/>
    <mergeCell ref="AR36:AS36"/>
    <mergeCell ref="AT36:AU36"/>
    <mergeCell ref="X36:Y36"/>
    <mergeCell ref="Z36:AA36"/>
    <mergeCell ref="AB36:AC36"/>
    <mergeCell ref="BL44:BM44"/>
    <mergeCell ref="BN44:BO44"/>
    <mergeCell ref="AT44:AU44"/>
    <mergeCell ref="AV44:AW44"/>
    <mergeCell ref="AX44:AY44"/>
    <mergeCell ref="AZ44:BA44"/>
    <mergeCell ref="BB44:BC44"/>
    <mergeCell ref="BD44:BE44"/>
    <mergeCell ref="R44:S44"/>
    <mergeCell ref="T44:U44"/>
    <mergeCell ref="V44:W44"/>
    <mergeCell ref="B52:C52"/>
    <mergeCell ref="D52:E52"/>
    <mergeCell ref="F52:G52"/>
    <mergeCell ref="H52:I52"/>
    <mergeCell ref="J52:K52"/>
    <mergeCell ref="L52:M52"/>
    <mergeCell ref="BF44:BG44"/>
    <mergeCell ref="BH44:BI44"/>
    <mergeCell ref="BJ44:BK44"/>
    <mergeCell ref="AH44:AI44"/>
    <mergeCell ref="AJ44:AK44"/>
    <mergeCell ref="AL44:AM44"/>
    <mergeCell ref="AN44:AO44"/>
    <mergeCell ref="AP44:AQ44"/>
    <mergeCell ref="AR44:AS44"/>
    <mergeCell ref="X44:Y44"/>
    <mergeCell ref="Z44:AA44"/>
    <mergeCell ref="AB44:AC44"/>
    <mergeCell ref="AD44:AE44"/>
    <mergeCell ref="AF44:AG44"/>
    <mergeCell ref="L44:M44"/>
    <mergeCell ref="N44:O44"/>
    <mergeCell ref="P44:Q44"/>
    <mergeCell ref="AD52:AE52"/>
    <mergeCell ref="B60:C60"/>
    <mergeCell ref="D60:E60"/>
    <mergeCell ref="F60:G60"/>
    <mergeCell ref="H60:I60"/>
    <mergeCell ref="J60:K60"/>
    <mergeCell ref="AV52:AW52"/>
    <mergeCell ref="AX52:AY52"/>
    <mergeCell ref="AZ52:BA52"/>
    <mergeCell ref="BB52:BC52"/>
    <mergeCell ref="AJ52:AK52"/>
    <mergeCell ref="AL52:AM52"/>
    <mergeCell ref="AN52:AO52"/>
    <mergeCell ref="AP52:AQ52"/>
    <mergeCell ref="AR52:AS52"/>
    <mergeCell ref="AT52:AU52"/>
    <mergeCell ref="X52:Y52"/>
    <mergeCell ref="Z52:AA52"/>
    <mergeCell ref="AB52:AC52"/>
    <mergeCell ref="AF52:AG52"/>
    <mergeCell ref="AH52:AI52"/>
    <mergeCell ref="N52:O52"/>
    <mergeCell ref="P52:Q52"/>
    <mergeCell ref="R52:S52"/>
    <mergeCell ref="T52:U52"/>
    <mergeCell ref="AX60:AY60"/>
    <mergeCell ref="AZ60:BA60"/>
    <mergeCell ref="BB60:BC60"/>
    <mergeCell ref="BD60:BE60"/>
    <mergeCell ref="R60:S60"/>
    <mergeCell ref="T60:U60"/>
    <mergeCell ref="V60:W60"/>
    <mergeCell ref="BL52:BM52"/>
    <mergeCell ref="BN52:BO52"/>
    <mergeCell ref="BD52:BE52"/>
    <mergeCell ref="BF52:BG52"/>
    <mergeCell ref="BL60:BM60"/>
    <mergeCell ref="BN60:BO60"/>
    <mergeCell ref="V52:W52"/>
    <mergeCell ref="BH52:BI52"/>
    <mergeCell ref="BJ52:BK52"/>
    <mergeCell ref="D68:E68"/>
    <mergeCell ref="F68:G68"/>
    <mergeCell ref="H68:I68"/>
    <mergeCell ref="J68:K68"/>
    <mergeCell ref="L68:M68"/>
    <mergeCell ref="BF60:BG60"/>
    <mergeCell ref="BH60:BI60"/>
    <mergeCell ref="BJ60:BK60"/>
    <mergeCell ref="AH60:AI60"/>
    <mergeCell ref="AJ60:AK60"/>
    <mergeCell ref="AL60:AM60"/>
    <mergeCell ref="AN60:AO60"/>
    <mergeCell ref="AP60:AQ60"/>
    <mergeCell ref="AR60:AS60"/>
    <mergeCell ref="X60:Y60"/>
    <mergeCell ref="Z60:AA60"/>
    <mergeCell ref="AB60:AC60"/>
    <mergeCell ref="AD60:AE60"/>
    <mergeCell ref="AF60:AG60"/>
    <mergeCell ref="L60:M60"/>
    <mergeCell ref="N60:O60"/>
    <mergeCell ref="P60:Q60"/>
    <mergeCell ref="AT60:AU60"/>
    <mergeCell ref="AV60:AW60"/>
    <mergeCell ref="BN68:BO68"/>
    <mergeCell ref="B76:C76"/>
    <mergeCell ref="D76:E76"/>
    <mergeCell ref="F76:G76"/>
    <mergeCell ref="H76:I76"/>
    <mergeCell ref="J76:K76"/>
    <mergeCell ref="AV68:AW68"/>
    <mergeCell ref="AX68:AY68"/>
    <mergeCell ref="AZ68:BA68"/>
    <mergeCell ref="BB68:BC68"/>
    <mergeCell ref="BD68:BE68"/>
    <mergeCell ref="BF68:BG68"/>
    <mergeCell ref="AJ68:AK68"/>
    <mergeCell ref="AL68:AM68"/>
    <mergeCell ref="AN68:AO68"/>
    <mergeCell ref="AP68:AQ68"/>
    <mergeCell ref="AR68:AS68"/>
    <mergeCell ref="AT68:AU68"/>
    <mergeCell ref="X68:Y68"/>
    <mergeCell ref="Z68:AA68"/>
    <mergeCell ref="AB68:AC68"/>
    <mergeCell ref="AD68:AE68"/>
    <mergeCell ref="AF68:AG68"/>
    <mergeCell ref="B68:C68"/>
    <mergeCell ref="L76:M76"/>
    <mergeCell ref="N76:O76"/>
    <mergeCell ref="P76:Q76"/>
    <mergeCell ref="R76:S76"/>
    <mergeCell ref="T76:U76"/>
    <mergeCell ref="V76:W76"/>
    <mergeCell ref="BH68:BI68"/>
    <mergeCell ref="BJ68:BK68"/>
    <mergeCell ref="BL68:BM68"/>
    <mergeCell ref="AH68:AI68"/>
    <mergeCell ref="N68:O68"/>
    <mergeCell ref="P68:Q68"/>
    <mergeCell ref="R68:S68"/>
    <mergeCell ref="T68:U68"/>
    <mergeCell ref="V68:W68"/>
    <mergeCell ref="AH76:AI76"/>
    <mergeCell ref="AJ76:AK76"/>
    <mergeCell ref="AL76:AM76"/>
    <mergeCell ref="AN76:AO76"/>
    <mergeCell ref="AP76:AQ76"/>
    <mergeCell ref="AR76:AS76"/>
    <mergeCell ref="X76:Y76"/>
    <mergeCell ref="BN76:BO76"/>
    <mergeCell ref="AT76:AU76"/>
    <mergeCell ref="AV76:AW76"/>
    <mergeCell ref="AX76:AY76"/>
    <mergeCell ref="AZ76:BA76"/>
    <mergeCell ref="BB76:BC76"/>
    <mergeCell ref="BD76:BE76"/>
    <mergeCell ref="Z76:AA76"/>
    <mergeCell ref="AB76:AC76"/>
    <mergeCell ref="AD76:AE76"/>
    <mergeCell ref="AF76:AG76"/>
    <mergeCell ref="BF76:BG76"/>
    <mergeCell ref="BH76:BI76"/>
    <mergeCell ref="BJ76:BK76"/>
    <mergeCell ref="BL76:BM7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8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5.7109375" style="76" customWidth="1"/>
    <col min="2" max="33" width="16" style="76" customWidth="1"/>
    <col min="34" max="34" width="16" style="7" customWidth="1"/>
    <col min="35" max="67" width="16" style="76" customWidth="1"/>
    <col min="68" max="16384" width="9.140625" style="76"/>
  </cols>
  <sheetData>
    <row r="1" spans="1:67" ht="18.75" x14ac:dyDescent="0.3">
      <c r="A1" s="4" t="s">
        <v>202</v>
      </c>
    </row>
    <row r="2" spans="1:67" x14ac:dyDescent="0.25">
      <c r="A2" s="5" t="s">
        <v>34</v>
      </c>
    </row>
    <row r="3" spans="1:67" x14ac:dyDescent="0.25">
      <c r="A3" s="1" t="s">
        <v>0</v>
      </c>
      <c r="B3" s="119" t="s">
        <v>1</v>
      </c>
      <c r="C3" s="120"/>
      <c r="D3" s="119" t="s">
        <v>282</v>
      </c>
      <c r="E3" s="120"/>
      <c r="F3" s="119" t="s">
        <v>2</v>
      </c>
      <c r="G3" s="120"/>
      <c r="H3" s="119" t="s">
        <v>3</v>
      </c>
      <c r="I3" s="120"/>
      <c r="J3" s="119" t="s">
        <v>4</v>
      </c>
      <c r="K3" s="120"/>
      <c r="L3" s="119" t="s">
        <v>283</v>
      </c>
      <c r="M3" s="120"/>
      <c r="N3" s="119" t="s">
        <v>6</v>
      </c>
      <c r="O3" s="120"/>
      <c r="P3" s="119" t="s">
        <v>5</v>
      </c>
      <c r="Q3" s="120"/>
      <c r="R3" s="119" t="s">
        <v>7</v>
      </c>
      <c r="S3" s="120"/>
      <c r="T3" s="119" t="s">
        <v>284</v>
      </c>
      <c r="U3" s="120"/>
      <c r="V3" s="119" t="s">
        <v>8</v>
      </c>
      <c r="W3" s="120"/>
      <c r="X3" s="119" t="s">
        <v>9</v>
      </c>
      <c r="Y3" s="120"/>
      <c r="Z3" s="119" t="s">
        <v>10</v>
      </c>
      <c r="AA3" s="120"/>
      <c r="AB3" s="119" t="s">
        <v>293</v>
      </c>
      <c r="AC3" s="120"/>
      <c r="AD3" s="119" t="s">
        <v>11</v>
      </c>
      <c r="AE3" s="120"/>
      <c r="AF3" s="119" t="s">
        <v>12</v>
      </c>
      <c r="AG3" s="120"/>
      <c r="AH3" s="119" t="s">
        <v>285</v>
      </c>
      <c r="AI3" s="120"/>
      <c r="AJ3" s="119" t="s">
        <v>290</v>
      </c>
      <c r="AK3" s="120"/>
      <c r="AL3" s="119" t="s">
        <v>13</v>
      </c>
      <c r="AM3" s="120"/>
      <c r="AN3" s="119" t="s">
        <v>286</v>
      </c>
      <c r="AO3" s="120"/>
      <c r="AP3" s="119" t="s">
        <v>287</v>
      </c>
      <c r="AQ3" s="120"/>
      <c r="AR3" s="119" t="s">
        <v>291</v>
      </c>
      <c r="AS3" s="120"/>
      <c r="AT3" s="119" t="s">
        <v>294</v>
      </c>
      <c r="AU3" s="120"/>
      <c r="AV3" s="119" t="s">
        <v>14</v>
      </c>
      <c r="AW3" s="120"/>
      <c r="AX3" s="119" t="s">
        <v>15</v>
      </c>
      <c r="AY3" s="120"/>
      <c r="AZ3" s="119" t="s">
        <v>16</v>
      </c>
      <c r="BA3" s="120"/>
      <c r="BB3" s="119" t="s">
        <v>17</v>
      </c>
      <c r="BC3" s="120"/>
      <c r="BD3" s="119" t="s">
        <v>18</v>
      </c>
      <c r="BE3" s="120"/>
      <c r="BF3" s="119" t="s">
        <v>288</v>
      </c>
      <c r="BG3" s="120"/>
      <c r="BH3" s="119" t="s">
        <v>289</v>
      </c>
      <c r="BI3" s="120"/>
      <c r="BJ3" s="119" t="s">
        <v>19</v>
      </c>
      <c r="BK3" s="120"/>
      <c r="BL3" s="119" t="s">
        <v>20</v>
      </c>
      <c r="BM3" s="120"/>
      <c r="BN3" s="123" t="s">
        <v>21</v>
      </c>
      <c r="BO3" s="123"/>
    </row>
    <row r="4" spans="1:67" ht="30" x14ac:dyDescent="0.25">
      <c r="A4" s="1"/>
      <c r="B4" s="57" t="s">
        <v>296</v>
      </c>
      <c r="C4" s="58" t="s">
        <v>297</v>
      </c>
      <c r="D4" s="57" t="s">
        <v>296</v>
      </c>
      <c r="E4" s="58" t="s">
        <v>297</v>
      </c>
      <c r="F4" s="57" t="s">
        <v>296</v>
      </c>
      <c r="G4" s="58" t="s">
        <v>297</v>
      </c>
      <c r="H4" s="57" t="s">
        <v>296</v>
      </c>
      <c r="I4" s="58" t="s">
        <v>297</v>
      </c>
      <c r="J4" s="57" t="s">
        <v>296</v>
      </c>
      <c r="K4" s="58" t="s">
        <v>297</v>
      </c>
      <c r="L4" s="57" t="s">
        <v>296</v>
      </c>
      <c r="M4" s="58" t="s">
        <v>297</v>
      </c>
      <c r="N4" s="57" t="s">
        <v>296</v>
      </c>
      <c r="O4" s="58" t="s">
        <v>297</v>
      </c>
      <c r="P4" s="57" t="s">
        <v>296</v>
      </c>
      <c r="Q4" s="58" t="s">
        <v>297</v>
      </c>
      <c r="R4" s="57" t="s">
        <v>296</v>
      </c>
      <c r="S4" s="58" t="s">
        <v>297</v>
      </c>
      <c r="T4" s="57" t="s">
        <v>296</v>
      </c>
      <c r="U4" s="58" t="s">
        <v>297</v>
      </c>
      <c r="V4" s="57" t="s">
        <v>296</v>
      </c>
      <c r="W4" s="58" t="s">
        <v>297</v>
      </c>
      <c r="X4" s="57" t="s">
        <v>296</v>
      </c>
      <c r="Y4" s="58" t="s">
        <v>297</v>
      </c>
      <c r="Z4" s="57" t="s">
        <v>296</v>
      </c>
      <c r="AA4" s="58" t="s">
        <v>297</v>
      </c>
      <c r="AB4" s="57" t="s">
        <v>296</v>
      </c>
      <c r="AC4" s="58" t="s">
        <v>297</v>
      </c>
      <c r="AD4" s="57" t="s">
        <v>296</v>
      </c>
      <c r="AE4" s="58" t="s">
        <v>297</v>
      </c>
      <c r="AF4" s="57" t="s">
        <v>296</v>
      </c>
      <c r="AG4" s="58" t="s">
        <v>297</v>
      </c>
      <c r="AH4" s="57" t="s">
        <v>296</v>
      </c>
      <c r="AI4" s="58" t="s">
        <v>297</v>
      </c>
      <c r="AJ4" s="57" t="s">
        <v>296</v>
      </c>
      <c r="AK4" s="58" t="s">
        <v>297</v>
      </c>
      <c r="AL4" s="57" t="s">
        <v>296</v>
      </c>
      <c r="AM4" s="58" t="s">
        <v>297</v>
      </c>
      <c r="AN4" s="57" t="s">
        <v>296</v>
      </c>
      <c r="AO4" s="58" t="s">
        <v>297</v>
      </c>
      <c r="AP4" s="57" t="s">
        <v>296</v>
      </c>
      <c r="AQ4" s="58" t="s">
        <v>297</v>
      </c>
      <c r="AR4" s="57" t="s">
        <v>296</v>
      </c>
      <c r="AS4" s="58" t="s">
        <v>297</v>
      </c>
      <c r="AT4" s="57" t="s">
        <v>296</v>
      </c>
      <c r="AU4" s="58" t="s">
        <v>297</v>
      </c>
      <c r="AV4" s="57" t="s">
        <v>296</v>
      </c>
      <c r="AW4" s="58" t="s">
        <v>297</v>
      </c>
      <c r="AX4" s="57" t="s">
        <v>296</v>
      </c>
      <c r="AY4" s="58" t="s">
        <v>297</v>
      </c>
      <c r="AZ4" s="57" t="s">
        <v>296</v>
      </c>
      <c r="BA4" s="58" t="s">
        <v>297</v>
      </c>
      <c r="BB4" s="57" t="s">
        <v>296</v>
      </c>
      <c r="BC4" s="58" t="s">
        <v>297</v>
      </c>
      <c r="BD4" s="57" t="s">
        <v>296</v>
      </c>
      <c r="BE4" s="58" t="s">
        <v>297</v>
      </c>
      <c r="BF4" s="57" t="s">
        <v>296</v>
      </c>
      <c r="BG4" s="58" t="s">
        <v>297</v>
      </c>
      <c r="BH4" s="57" t="s">
        <v>296</v>
      </c>
      <c r="BI4" s="58" t="s">
        <v>297</v>
      </c>
      <c r="BJ4" s="57" t="s">
        <v>296</v>
      </c>
      <c r="BK4" s="58" t="s">
        <v>297</v>
      </c>
      <c r="BL4" s="57" t="s">
        <v>296</v>
      </c>
      <c r="BM4" s="58" t="s">
        <v>297</v>
      </c>
      <c r="BN4" s="57" t="s">
        <v>296</v>
      </c>
      <c r="BO4" s="58" t="s">
        <v>297</v>
      </c>
    </row>
    <row r="5" spans="1:67" x14ac:dyDescent="0.25">
      <c r="A5" s="21" t="s">
        <v>203</v>
      </c>
      <c r="B5" s="84">
        <v>100822</v>
      </c>
      <c r="C5" s="84">
        <v>443973</v>
      </c>
      <c r="D5" s="84">
        <v>854971</v>
      </c>
      <c r="E5" s="84">
        <v>3218537</v>
      </c>
      <c r="F5" s="103">
        <v>137482</v>
      </c>
      <c r="G5" s="103">
        <v>589475</v>
      </c>
      <c r="H5" s="84">
        <v>2124521</v>
      </c>
      <c r="I5" s="84">
        <v>7987418</v>
      </c>
      <c r="J5" s="84">
        <v>821335</v>
      </c>
      <c r="K5" s="84">
        <v>2628371</v>
      </c>
      <c r="L5" s="84">
        <v>269019</v>
      </c>
      <c r="M5" s="84">
        <v>1401052</v>
      </c>
      <c r="N5" s="103">
        <v>624118.02</v>
      </c>
      <c r="O5" s="103">
        <v>1723703.13</v>
      </c>
      <c r="P5" s="84">
        <v>145806</v>
      </c>
      <c r="Q5" s="84">
        <v>554790</v>
      </c>
      <c r="R5" s="84">
        <v>580477</v>
      </c>
      <c r="S5" s="84">
        <v>2424056</v>
      </c>
      <c r="T5" s="84">
        <v>252602</v>
      </c>
      <c r="U5" s="84">
        <v>1323752</v>
      </c>
      <c r="V5" s="84">
        <v>1302023</v>
      </c>
      <c r="W5" s="84">
        <v>5303172</v>
      </c>
      <c r="X5" s="84">
        <v>1877413</v>
      </c>
      <c r="Y5" s="84">
        <v>7340213</v>
      </c>
      <c r="Z5" s="84">
        <v>885607</v>
      </c>
      <c r="AA5" s="84">
        <v>3685208</v>
      </c>
      <c r="AB5" s="84">
        <v>209368</v>
      </c>
      <c r="AC5" s="84">
        <v>734679</v>
      </c>
      <c r="AD5" s="84">
        <v>247025</v>
      </c>
      <c r="AE5" s="84">
        <v>1401675</v>
      </c>
      <c r="AF5" s="84">
        <v>34418</v>
      </c>
      <c r="AG5" s="84">
        <v>134113</v>
      </c>
      <c r="AH5" s="74">
        <v>562983</v>
      </c>
      <c r="AI5" s="103">
        <v>1652448</v>
      </c>
      <c r="AJ5" s="84">
        <v>950272</v>
      </c>
      <c r="AK5" s="84">
        <v>2916122</v>
      </c>
      <c r="AL5" s="84">
        <v>7766335</v>
      </c>
      <c r="AM5" s="84">
        <v>27650080</v>
      </c>
      <c r="AN5" s="84">
        <v>178033</v>
      </c>
      <c r="AO5" s="84">
        <v>405790</v>
      </c>
      <c r="AP5" s="84">
        <v>124965</v>
      </c>
      <c r="AQ5" s="84">
        <v>427588</v>
      </c>
      <c r="AR5" s="84">
        <v>1204977</v>
      </c>
      <c r="AS5" s="84">
        <v>4350152</v>
      </c>
      <c r="AT5" s="84">
        <v>1111052</v>
      </c>
      <c r="AU5" s="84">
        <v>4063382</v>
      </c>
      <c r="AV5" s="84">
        <v>397647</v>
      </c>
      <c r="AW5" s="84">
        <v>1847612</v>
      </c>
      <c r="AX5" s="84">
        <v>695798</v>
      </c>
      <c r="AY5" s="84">
        <v>3537693</v>
      </c>
      <c r="AZ5" s="84">
        <v>201200</v>
      </c>
      <c r="BA5" s="84">
        <v>913996</v>
      </c>
      <c r="BB5" s="84">
        <v>3912068</v>
      </c>
      <c r="BC5" s="84">
        <v>11764372</v>
      </c>
      <c r="BD5" s="103">
        <v>1211444</v>
      </c>
      <c r="BE5" s="103">
        <v>5094146</v>
      </c>
      <c r="BF5" s="84">
        <v>10037379</v>
      </c>
      <c r="BG5" s="84">
        <v>42478980</v>
      </c>
      <c r="BH5" s="103">
        <v>6003083</v>
      </c>
      <c r="BI5" s="103">
        <v>26662952</v>
      </c>
      <c r="BJ5" s="103">
        <v>11622930</v>
      </c>
      <c r="BK5" s="103">
        <v>33571967</v>
      </c>
      <c r="BL5" s="103">
        <v>278128</v>
      </c>
      <c r="BM5" s="103">
        <v>877910</v>
      </c>
      <c r="BN5" s="73">
        <f>SUM(B5+D5+F5+H5+J5+L5+N5+P5+R5+T5+V5+X5+Z5+AB5+AD5+AF5+AH5+AJ5+AL5+AN5+AP5+AR5+AT5+AV5+AX5+AZ5+BB5+BD5+BF5+BH5+BJ5+BL5)</f>
        <v>56725301.019999996</v>
      </c>
      <c r="BO5" s="73">
        <f>SUM(C5+E5+G5+I5+K5+M5+O5+Q5+S5+U5+W5+Y5+AA5+AC5+AE5+AG5+AI5+AK5+AM5+AO5+AQ5+AS5+AU5+AW5+AY5+BA5+BC5+BE5+BG5+BI5+BK5+BM5)</f>
        <v>209109377.13</v>
      </c>
    </row>
    <row r="6" spans="1:67" x14ac:dyDescent="0.25">
      <c r="A6" s="21" t="s">
        <v>204</v>
      </c>
      <c r="B6" s="84">
        <v>-92</v>
      </c>
      <c r="C6" s="84">
        <v>106</v>
      </c>
      <c r="D6" s="84">
        <v>15623</v>
      </c>
      <c r="E6" s="84">
        <v>30875</v>
      </c>
      <c r="F6" s="103">
        <v>3819</v>
      </c>
      <c r="G6" s="103">
        <v>11284</v>
      </c>
      <c r="H6" s="84">
        <v>64088</v>
      </c>
      <c r="I6" s="84">
        <v>137855</v>
      </c>
      <c r="J6" s="84">
        <v>-3541</v>
      </c>
      <c r="K6" s="84">
        <v>58732</v>
      </c>
      <c r="L6" s="84">
        <v>14053</v>
      </c>
      <c r="M6" s="84">
        <v>32183</v>
      </c>
      <c r="N6" s="103">
        <v>22458.880000000001</v>
      </c>
      <c r="O6" s="103">
        <v>57950.57</v>
      </c>
      <c r="P6" s="84">
        <v>1231</v>
      </c>
      <c r="Q6" s="84">
        <v>1132</v>
      </c>
      <c r="R6" s="84">
        <v>14655</v>
      </c>
      <c r="S6" s="84">
        <v>41342</v>
      </c>
      <c r="T6" s="84">
        <v>14895</v>
      </c>
      <c r="U6" s="84">
        <v>32647</v>
      </c>
      <c r="V6" s="84">
        <v>41353</v>
      </c>
      <c r="W6" s="84">
        <v>123730</v>
      </c>
      <c r="X6" s="84">
        <v>90672</v>
      </c>
      <c r="Y6" s="84">
        <v>222475</v>
      </c>
      <c r="Z6" s="84">
        <v>44524</v>
      </c>
      <c r="AA6" s="84">
        <v>85100</v>
      </c>
      <c r="AB6" s="84">
        <v>7039</v>
      </c>
      <c r="AC6" s="84">
        <v>12587</v>
      </c>
      <c r="AD6" s="84">
        <v>14041</v>
      </c>
      <c r="AE6" s="84">
        <v>25600</v>
      </c>
      <c r="AF6" s="84">
        <v>1111</v>
      </c>
      <c r="AG6" s="84">
        <v>1618</v>
      </c>
      <c r="AH6" s="74">
        <v>2475</v>
      </c>
      <c r="AI6" s="103">
        <v>3636</v>
      </c>
      <c r="AJ6" s="84">
        <v>31058</v>
      </c>
      <c r="AK6" s="84">
        <v>67544</v>
      </c>
      <c r="AL6" s="84">
        <v>79171</v>
      </c>
      <c r="AM6" s="84">
        <v>203659</v>
      </c>
      <c r="AN6" s="84">
        <v>1229</v>
      </c>
      <c r="AO6" s="84">
        <v>2670</v>
      </c>
      <c r="AP6" s="84">
        <v>3586</v>
      </c>
      <c r="AQ6" s="84">
        <v>5362</v>
      </c>
      <c r="AR6" s="84">
        <v>53704</v>
      </c>
      <c r="AS6" s="84">
        <v>198570</v>
      </c>
      <c r="AT6" s="84">
        <v>2062</v>
      </c>
      <c r="AU6" s="84">
        <v>33543</v>
      </c>
      <c r="AV6" s="84">
        <v>14076</v>
      </c>
      <c r="AW6" s="84">
        <v>26868</v>
      </c>
      <c r="AX6" s="84">
        <v>-42610</v>
      </c>
      <c r="AY6" s="84">
        <v>41824</v>
      </c>
      <c r="AZ6" s="84">
        <v>22716</v>
      </c>
      <c r="BA6" s="84">
        <v>67571</v>
      </c>
      <c r="BB6" s="84">
        <v>85019</v>
      </c>
      <c r="BC6" s="84">
        <v>192969</v>
      </c>
      <c r="BD6" s="103">
        <v>38445</v>
      </c>
      <c r="BE6" s="103">
        <v>89579</v>
      </c>
      <c r="BF6" s="84">
        <v>122018</v>
      </c>
      <c r="BG6" s="84">
        <v>336535</v>
      </c>
      <c r="BH6" s="103">
        <v>74182</v>
      </c>
      <c r="BI6" s="103">
        <v>192115</v>
      </c>
      <c r="BJ6" s="103">
        <v>92294</v>
      </c>
      <c r="BK6" s="103">
        <v>219861</v>
      </c>
      <c r="BL6" s="103">
        <v>14519</v>
      </c>
      <c r="BM6" s="103">
        <v>27885</v>
      </c>
      <c r="BN6" s="73">
        <f t="shared" ref="BN6:BN17" si="0">SUM(B6+D6+F6+H6+J6+L6+N6+P6+R6+T6+V6+X6+Z6+AB6+AD6+AF6+AH6+AJ6+AL6+AN6+AP6+AR6+AT6+AV6+AX6+AZ6+BB6+BD6+BF6+BH6+BJ6+BL6)</f>
        <v>939873.88</v>
      </c>
      <c r="BO6" s="73">
        <f t="shared" ref="BO6:BO17" si="1">SUM(C6+E6+G6+I6+K6+M6+O6+Q6+S6+U6+W6+Y6+AA6+AC6+AE6+AG6+AI6+AK6+AM6+AO6+AQ6+AS6+AU6+AW6+AY6+BA6+BC6+BE6+BG6+BI6+BK6+BM6)</f>
        <v>2585407.5700000003</v>
      </c>
    </row>
    <row r="7" spans="1:67" x14ac:dyDescent="0.25">
      <c r="A7" s="21" t="s">
        <v>205</v>
      </c>
      <c r="B7" s="84">
        <v>477</v>
      </c>
      <c r="C7" s="84">
        <v>550</v>
      </c>
      <c r="D7" s="84">
        <v>2220</v>
      </c>
      <c r="E7" s="84">
        <v>-28849</v>
      </c>
      <c r="F7" s="103">
        <v>222</v>
      </c>
      <c r="G7" s="103">
        <v>385</v>
      </c>
      <c r="H7" s="84">
        <v>8249</v>
      </c>
      <c r="I7" s="84">
        <v>8724</v>
      </c>
      <c r="J7" s="84">
        <v>1432</v>
      </c>
      <c r="K7" s="84">
        <v>25786</v>
      </c>
      <c r="L7" s="84">
        <v>-3436</v>
      </c>
      <c r="M7" s="84">
        <v>13134</v>
      </c>
      <c r="N7" s="103">
        <v>776.57</v>
      </c>
      <c r="O7" s="103">
        <v>1511.27</v>
      </c>
      <c r="P7" s="84">
        <v>-3849</v>
      </c>
      <c r="Q7" s="84">
        <v>-3354</v>
      </c>
      <c r="R7" s="84">
        <v>282</v>
      </c>
      <c r="S7" s="84">
        <v>71958</v>
      </c>
      <c r="T7" s="84">
        <v>8912</v>
      </c>
      <c r="U7" s="84">
        <v>14593</v>
      </c>
      <c r="V7" s="84">
        <v>323402</v>
      </c>
      <c r="W7" s="84">
        <v>477239</v>
      </c>
      <c r="X7" s="84">
        <v>4815</v>
      </c>
      <c r="Y7" s="84">
        <v>81397</v>
      </c>
      <c r="Z7" s="84">
        <v>1344</v>
      </c>
      <c r="AA7" s="84">
        <v>4436</v>
      </c>
      <c r="AB7" s="84">
        <v>310</v>
      </c>
      <c r="AC7" s="84">
        <v>326</v>
      </c>
      <c r="AD7" s="84">
        <v>27149</v>
      </c>
      <c r="AE7" s="84">
        <v>69403</v>
      </c>
      <c r="AF7" s="84">
        <v>45</v>
      </c>
      <c r="AG7" s="84">
        <v>131</v>
      </c>
      <c r="AH7" s="74">
        <v>1202</v>
      </c>
      <c r="AI7" s="103">
        <v>-848</v>
      </c>
      <c r="AJ7" s="84">
        <v>12550</v>
      </c>
      <c r="AK7" s="84">
        <v>55234</v>
      </c>
      <c r="AL7" s="84">
        <v>-736</v>
      </c>
      <c r="AM7" s="84">
        <v>15732</v>
      </c>
      <c r="AN7" s="84">
        <v>8497</v>
      </c>
      <c r="AO7" s="84">
        <v>5049</v>
      </c>
      <c r="AP7" s="84">
        <v>51497</v>
      </c>
      <c r="AQ7" s="84">
        <v>51542</v>
      </c>
      <c r="AR7" s="84">
        <v>54435</v>
      </c>
      <c r="AS7" s="84">
        <v>110970</v>
      </c>
      <c r="AT7" s="84">
        <v>21294</v>
      </c>
      <c r="AU7" s="84">
        <v>72701</v>
      </c>
      <c r="AV7" s="84">
        <v>343</v>
      </c>
      <c r="AW7" s="84">
        <v>3090</v>
      </c>
      <c r="AX7" s="84">
        <v>928</v>
      </c>
      <c r="AY7" s="84">
        <v>2582</v>
      </c>
      <c r="AZ7" s="84">
        <v>1535</v>
      </c>
      <c r="BA7" s="84">
        <v>8592</v>
      </c>
      <c r="BB7" s="84">
        <v>21624</v>
      </c>
      <c r="BC7" s="84">
        <v>36911</v>
      </c>
      <c r="BD7" s="103">
        <v>22671</v>
      </c>
      <c r="BE7" s="103">
        <v>49585</v>
      </c>
      <c r="BF7" s="84">
        <v>9060</v>
      </c>
      <c r="BG7" s="84">
        <v>15567</v>
      </c>
      <c r="BH7" s="103">
        <v>6910</v>
      </c>
      <c r="BI7" s="103">
        <v>23951</v>
      </c>
      <c r="BJ7" s="103">
        <v>4501</v>
      </c>
      <c r="BK7" s="103">
        <v>-1358</v>
      </c>
      <c r="BL7" s="103">
        <v>95</v>
      </c>
      <c r="BM7" s="103">
        <v>483</v>
      </c>
      <c r="BN7" s="73">
        <f t="shared" si="0"/>
        <v>588756.57000000007</v>
      </c>
      <c r="BO7" s="73">
        <f t="shared" si="1"/>
        <v>1187153.27</v>
      </c>
    </row>
    <row r="8" spans="1:67" x14ac:dyDescent="0.25">
      <c r="A8" s="21" t="s">
        <v>206</v>
      </c>
      <c r="B8" s="84">
        <v>4109</v>
      </c>
      <c r="C8" s="84">
        <v>43830</v>
      </c>
      <c r="D8" s="84">
        <v>26888</v>
      </c>
      <c r="E8" s="84">
        <v>111445</v>
      </c>
      <c r="F8" s="103">
        <v>24823</v>
      </c>
      <c r="G8" s="103">
        <v>82427</v>
      </c>
      <c r="H8" s="84">
        <v>77050</v>
      </c>
      <c r="I8" s="84">
        <v>351792</v>
      </c>
      <c r="J8" s="84">
        <v>50388</v>
      </c>
      <c r="K8" s="84">
        <v>245044</v>
      </c>
      <c r="L8" s="84">
        <v>31081</v>
      </c>
      <c r="M8" s="84">
        <v>130279</v>
      </c>
      <c r="N8" s="103">
        <v>81108.75</v>
      </c>
      <c r="O8" s="103">
        <v>265400.75</v>
      </c>
      <c r="P8" s="84">
        <v>11686</v>
      </c>
      <c r="Q8" s="84">
        <v>66476</v>
      </c>
      <c r="R8" s="84">
        <v>47675</v>
      </c>
      <c r="S8" s="84">
        <v>205066</v>
      </c>
      <c r="T8" s="84">
        <v>16906</v>
      </c>
      <c r="U8" s="84">
        <v>69259</v>
      </c>
      <c r="V8" s="84">
        <v>129176</v>
      </c>
      <c r="W8" s="84">
        <v>572776</v>
      </c>
      <c r="X8" s="84">
        <v>260392</v>
      </c>
      <c r="Y8" s="84">
        <v>939866</v>
      </c>
      <c r="Z8" s="84">
        <v>119210</v>
      </c>
      <c r="AA8" s="84">
        <v>453491</v>
      </c>
      <c r="AB8" s="84">
        <v>19810</v>
      </c>
      <c r="AC8" s="84">
        <v>82821</v>
      </c>
      <c r="AD8" s="84">
        <v>39055</v>
      </c>
      <c r="AE8" s="84">
        <v>184119</v>
      </c>
      <c r="AF8" s="84">
        <v>2099</v>
      </c>
      <c r="AG8" s="84">
        <v>7161</v>
      </c>
      <c r="AH8" s="74">
        <v>24131</v>
      </c>
      <c r="AI8" s="103">
        <v>85902</v>
      </c>
      <c r="AJ8" s="84">
        <v>43680</v>
      </c>
      <c r="AK8" s="84">
        <v>129705</v>
      </c>
      <c r="AL8" s="84">
        <v>320763</v>
      </c>
      <c r="AM8" s="84">
        <v>1007885</v>
      </c>
      <c r="AN8" s="84">
        <v>7186</v>
      </c>
      <c r="AO8" s="84">
        <v>61920</v>
      </c>
      <c r="AP8" s="84">
        <v>9996</v>
      </c>
      <c r="AQ8" s="84">
        <v>24812</v>
      </c>
      <c r="AR8" s="84">
        <v>52423</v>
      </c>
      <c r="AS8" s="84">
        <v>250033</v>
      </c>
      <c r="AT8" s="84">
        <v>36028</v>
      </c>
      <c r="AU8" s="84">
        <v>146108</v>
      </c>
      <c r="AV8" s="84">
        <v>31476</v>
      </c>
      <c r="AW8" s="84">
        <v>177978</v>
      </c>
      <c r="AX8" s="84">
        <v>105362</v>
      </c>
      <c r="AY8" s="84">
        <v>323330</v>
      </c>
      <c r="AZ8" s="84">
        <v>19091</v>
      </c>
      <c r="BA8" s="84">
        <v>88405</v>
      </c>
      <c r="BB8" s="84">
        <v>209601</v>
      </c>
      <c r="BC8" s="84">
        <v>661674</v>
      </c>
      <c r="BD8" s="103">
        <v>-525816</v>
      </c>
      <c r="BE8" s="103">
        <v>2129655</v>
      </c>
      <c r="BF8" s="84">
        <v>502354</v>
      </c>
      <c r="BG8" s="84">
        <v>1585030</v>
      </c>
      <c r="BH8" s="103">
        <v>296374</v>
      </c>
      <c r="BI8" s="103">
        <v>887836</v>
      </c>
      <c r="BJ8" s="103">
        <v>474352</v>
      </c>
      <c r="BK8" s="103">
        <v>1166408</v>
      </c>
      <c r="BL8" s="103">
        <v>102549</v>
      </c>
      <c r="BM8" s="103">
        <v>301629</v>
      </c>
      <c r="BN8" s="73">
        <f t="shared" si="0"/>
        <v>2651006.75</v>
      </c>
      <c r="BO8" s="73">
        <f t="shared" si="1"/>
        <v>12839562.75</v>
      </c>
    </row>
    <row r="9" spans="1:67" x14ac:dyDescent="0.25">
      <c r="A9" s="21" t="s">
        <v>207</v>
      </c>
      <c r="B9" s="84">
        <v>5675</v>
      </c>
      <c r="C9" s="84">
        <v>20174</v>
      </c>
      <c r="D9" s="84">
        <v>10342</v>
      </c>
      <c r="E9" s="84">
        <v>35900</v>
      </c>
      <c r="F9" s="103">
        <v>4822</v>
      </c>
      <c r="G9" s="103">
        <v>19033</v>
      </c>
      <c r="H9" s="84">
        <v>33813</v>
      </c>
      <c r="I9" s="84">
        <v>117484</v>
      </c>
      <c r="J9" s="84">
        <v>6700</v>
      </c>
      <c r="K9" s="84">
        <v>36825</v>
      </c>
      <c r="L9" s="84">
        <v>9916</v>
      </c>
      <c r="M9" s="84">
        <v>43207</v>
      </c>
      <c r="N9" s="103">
        <v>90187.89</v>
      </c>
      <c r="O9" s="103">
        <v>207445.21</v>
      </c>
      <c r="P9" s="84">
        <v>2603</v>
      </c>
      <c r="Q9" s="84">
        <v>5496</v>
      </c>
      <c r="R9" s="84">
        <v>115031</v>
      </c>
      <c r="S9" s="84">
        <v>403528</v>
      </c>
      <c r="T9" s="84"/>
      <c r="U9" s="84"/>
      <c r="V9" s="84">
        <v>60172</v>
      </c>
      <c r="W9" s="84">
        <v>205461</v>
      </c>
      <c r="X9" s="84">
        <v>150741</v>
      </c>
      <c r="Y9" s="84">
        <v>528678</v>
      </c>
      <c r="Z9" s="84">
        <v>64631</v>
      </c>
      <c r="AA9" s="84">
        <v>176855</v>
      </c>
      <c r="AB9" s="84">
        <v>3156</v>
      </c>
      <c r="AC9" s="84">
        <v>15867</v>
      </c>
      <c r="AD9" s="84">
        <v>46793</v>
      </c>
      <c r="AE9" s="84">
        <v>166661</v>
      </c>
      <c r="AF9" s="84">
        <v>224</v>
      </c>
      <c r="AG9" s="84">
        <v>888</v>
      </c>
      <c r="AH9" s="74">
        <v>705</v>
      </c>
      <c r="AI9" s="103">
        <v>-1063</v>
      </c>
      <c r="AJ9" s="84">
        <v>42364</v>
      </c>
      <c r="AK9" s="84">
        <v>147781</v>
      </c>
      <c r="AL9" s="84">
        <v>-15044</v>
      </c>
      <c r="AM9" s="84">
        <v>46143</v>
      </c>
      <c r="AN9" s="84">
        <v>-4655</v>
      </c>
      <c r="AO9" s="84">
        <v>6385</v>
      </c>
      <c r="AP9" s="84">
        <v>8989</v>
      </c>
      <c r="AQ9" s="84">
        <v>35095</v>
      </c>
      <c r="AR9" s="84">
        <v>224250</v>
      </c>
      <c r="AS9" s="84">
        <v>672263</v>
      </c>
      <c r="AT9" s="84">
        <v>5899</v>
      </c>
      <c r="AU9" s="84">
        <v>29751</v>
      </c>
      <c r="AV9" s="84">
        <v>19338</v>
      </c>
      <c r="AW9" s="84">
        <v>57637</v>
      </c>
      <c r="AX9" s="84">
        <v>66202</v>
      </c>
      <c r="AY9" s="84">
        <v>253686</v>
      </c>
      <c r="AZ9" s="84">
        <v>4815</v>
      </c>
      <c r="BA9" s="84">
        <v>18858</v>
      </c>
      <c r="BB9" s="84">
        <v>56088</v>
      </c>
      <c r="BC9" s="84">
        <v>193679</v>
      </c>
      <c r="BD9" s="103">
        <v>10465</v>
      </c>
      <c r="BE9" s="103">
        <v>18661</v>
      </c>
      <c r="BF9" s="84">
        <v>86044</v>
      </c>
      <c r="BG9" s="84">
        <v>591538</v>
      </c>
      <c r="BH9" s="103">
        <v>78746</v>
      </c>
      <c r="BI9" s="103">
        <v>254526</v>
      </c>
      <c r="BJ9" s="103">
        <v>38951</v>
      </c>
      <c r="BK9" s="103">
        <v>131640</v>
      </c>
      <c r="BL9" s="103">
        <v>42219</v>
      </c>
      <c r="BM9" s="103">
        <v>149345</v>
      </c>
      <c r="BN9" s="73">
        <f t="shared" si="0"/>
        <v>1270182.8900000001</v>
      </c>
      <c r="BO9" s="73">
        <f t="shared" si="1"/>
        <v>4589427.21</v>
      </c>
    </row>
    <row r="10" spans="1:67" x14ac:dyDescent="0.25">
      <c r="A10" s="21" t="s">
        <v>208</v>
      </c>
      <c r="B10" s="84">
        <v>-223</v>
      </c>
      <c r="C10" s="84">
        <v>301</v>
      </c>
      <c r="D10" s="84">
        <v>10548</v>
      </c>
      <c r="E10" s="84">
        <v>55755</v>
      </c>
      <c r="F10" s="103">
        <v>1341</v>
      </c>
      <c r="G10" s="103">
        <v>18853</v>
      </c>
      <c r="H10" s="84">
        <v>14105</v>
      </c>
      <c r="I10" s="84">
        <v>71584</v>
      </c>
      <c r="J10" s="84">
        <v>9227</v>
      </c>
      <c r="K10" s="84">
        <v>33869</v>
      </c>
      <c r="L10" s="84">
        <v>7221</v>
      </c>
      <c r="M10" s="84">
        <v>27836</v>
      </c>
      <c r="N10" s="103">
        <v>5556.51</v>
      </c>
      <c r="O10" s="103">
        <v>16277.84</v>
      </c>
      <c r="P10" s="84">
        <v>1450</v>
      </c>
      <c r="Q10" s="84">
        <v>12940</v>
      </c>
      <c r="R10" s="84">
        <v>25528</v>
      </c>
      <c r="S10" s="84">
        <v>60527</v>
      </c>
      <c r="T10" s="84">
        <v>2154</v>
      </c>
      <c r="U10" s="84">
        <v>6017</v>
      </c>
      <c r="V10" s="84">
        <v>34791</v>
      </c>
      <c r="W10" s="84">
        <v>111293</v>
      </c>
      <c r="X10" s="84">
        <v>26264</v>
      </c>
      <c r="Y10" s="84">
        <v>87796</v>
      </c>
      <c r="Z10" s="84">
        <v>23020</v>
      </c>
      <c r="AA10" s="84">
        <v>58939</v>
      </c>
      <c r="AB10" s="84">
        <v>2550</v>
      </c>
      <c r="AC10" s="84">
        <v>9293</v>
      </c>
      <c r="AD10" s="84">
        <v>-5708</v>
      </c>
      <c r="AE10" s="84">
        <v>9544</v>
      </c>
      <c r="AF10" s="84">
        <v>456</v>
      </c>
      <c r="AG10" s="84">
        <v>1424</v>
      </c>
      <c r="AH10" s="74">
        <v>2621</v>
      </c>
      <c r="AI10" s="103">
        <v>15898</v>
      </c>
      <c r="AJ10" s="84">
        <v>944</v>
      </c>
      <c r="AK10" s="84">
        <v>5638</v>
      </c>
      <c r="AL10" s="84">
        <v>102971</v>
      </c>
      <c r="AM10" s="84">
        <v>309945</v>
      </c>
      <c r="AN10" s="84">
        <v>948</v>
      </c>
      <c r="AO10" s="84">
        <v>1918</v>
      </c>
      <c r="AP10" s="84">
        <v>1536</v>
      </c>
      <c r="AQ10" s="84">
        <v>3460</v>
      </c>
      <c r="AR10" s="84">
        <v>16346</v>
      </c>
      <c r="AS10" s="84">
        <v>34765</v>
      </c>
      <c r="AT10" s="84">
        <v>26824</v>
      </c>
      <c r="AU10" s="84">
        <v>43969</v>
      </c>
      <c r="AV10" s="84">
        <v>10912</v>
      </c>
      <c r="AW10" s="84">
        <v>33879</v>
      </c>
      <c r="AX10" s="84">
        <v>46534</v>
      </c>
      <c r="AY10" s="84">
        <v>146157</v>
      </c>
      <c r="AZ10" s="84">
        <v>5003</v>
      </c>
      <c r="BA10" s="84">
        <v>37573</v>
      </c>
      <c r="BB10" s="84">
        <v>59167</v>
      </c>
      <c r="BC10" s="84">
        <v>150157</v>
      </c>
      <c r="BD10" s="103">
        <v>22279</v>
      </c>
      <c r="BE10" s="103">
        <v>69260</v>
      </c>
      <c r="BF10" s="84">
        <v>88415</v>
      </c>
      <c r="BG10" s="84">
        <v>300942</v>
      </c>
      <c r="BH10" s="103">
        <v>11369</v>
      </c>
      <c r="BI10" s="103">
        <v>127333</v>
      </c>
      <c r="BJ10" s="103">
        <v>53788</v>
      </c>
      <c r="BK10" s="103">
        <v>150320</v>
      </c>
      <c r="BL10" s="103">
        <v>15241</v>
      </c>
      <c r="BM10" s="103">
        <v>28338</v>
      </c>
      <c r="BN10" s="73">
        <f t="shared" si="0"/>
        <v>623178.51</v>
      </c>
      <c r="BO10" s="73">
        <f t="shared" si="1"/>
        <v>2041800.8399999999</v>
      </c>
    </row>
    <row r="11" spans="1:67" x14ac:dyDescent="0.25">
      <c r="A11" s="21" t="s">
        <v>209</v>
      </c>
      <c r="B11" s="84">
        <v>3075</v>
      </c>
      <c r="C11" s="84">
        <v>8374</v>
      </c>
      <c r="D11" s="84">
        <v>18714</v>
      </c>
      <c r="E11" s="84">
        <v>57921</v>
      </c>
      <c r="F11" s="103">
        <v>-97</v>
      </c>
      <c r="G11" s="103">
        <v>9113</v>
      </c>
      <c r="H11" s="84">
        <v>17014</v>
      </c>
      <c r="I11" s="84">
        <v>127673</v>
      </c>
      <c r="J11" s="84">
        <v>88306</v>
      </c>
      <c r="K11" s="84">
        <v>264202</v>
      </c>
      <c r="L11" s="84">
        <v>13734</v>
      </c>
      <c r="M11" s="84">
        <v>57138</v>
      </c>
      <c r="N11" s="103">
        <v>3650.43</v>
      </c>
      <c r="O11" s="103">
        <v>10784.81</v>
      </c>
      <c r="P11" s="84">
        <v>2193</v>
      </c>
      <c r="Q11" s="84">
        <v>3647</v>
      </c>
      <c r="R11" s="84">
        <v>29013</v>
      </c>
      <c r="S11" s="84">
        <v>77421</v>
      </c>
      <c r="T11" s="84">
        <v>4763</v>
      </c>
      <c r="U11" s="84">
        <v>19535</v>
      </c>
      <c r="V11" s="84">
        <v>-9638</v>
      </c>
      <c r="W11" s="84">
        <v>78729</v>
      </c>
      <c r="X11" s="84">
        <v>112253</v>
      </c>
      <c r="Y11" s="84">
        <v>409913</v>
      </c>
      <c r="Z11" s="84">
        <v>36371</v>
      </c>
      <c r="AA11" s="84">
        <v>85732</v>
      </c>
      <c r="AB11" s="84">
        <v>2808</v>
      </c>
      <c r="AC11" s="84">
        <v>12190</v>
      </c>
      <c r="AD11" s="84">
        <v>34174</v>
      </c>
      <c r="AE11" s="84">
        <v>180596</v>
      </c>
      <c r="AF11" s="84">
        <v>850</v>
      </c>
      <c r="AG11" s="84">
        <v>2263</v>
      </c>
      <c r="AH11" s="74">
        <v>1071</v>
      </c>
      <c r="AI11" s="103">
        <v>44394</v>
      </c>
      <c r="AJ11" s="84">
        <v>10523</v>
      </c>
      <c r="AK11" s="84">
        <v>97077</v>
      </c>
      <c r="AL11" s="84">
        <v>87943</v>
      </c>
      <c r="AM11" s="84">
        <v>338597</v>
      </c>
      <c r="AN11" s="84">
        <v>700</v>
      </c>
      <c r="AO11" s="84">
        <v>6209</v>
      </c>
      <c r="AP11" s="84">
        <v>5338</v>
      </c>
      <c r="AQ11" s="84">
        <v>14626</v>
      </c>
      <c r="AR11" s="84">
        <v>18663</v>
      </c>
      <c r="AS11" s="84">
        <v>130706</v>
      </c>
      <c r="AT11" s="84">
        <v>61924</v>
      </c>
      <c r="AU11" s="84">
        <v>135840</v>
      </c>
      <c r="AV11" s="84">
        <v>23666</v>
      </c>
      <c r="AW11" s="84">
        <v>72589</v>
      </c>
      <c r="AX11" s="84">
        <v>29090</v>
      </c>
      <c r="AY11" s="84">
        <v>154066</v>
      </c>
      <c r="AZ11" s="84">
        <v>14144</v>
      </c>
      <c r="BA11" s="84">
        <v>44332</v>
      </c>
      <c r="BB11" s="84">
        <v>88085</v>
      </c>
      <c r="BC11" s="84">
        <v>228020</v>
      </c>
      <c r="BD11" s="103">
        <v>71719</v>
      </c>
      <c r="BE11" s="103">
        <v>239906</v>
      </c>
      <c r="BF11" s="84">
        <v>65665</v>
      </c>
      <c r="BG11" s="84">
        <v>212586</v>
      </c>
      <c r="BH11" s="103">
        <v>41559</v>
      </c>
      <c r="BI11" s="103">
        <v>130657</v>
      </c>
      <c r="BJ11" s="103">
        <v>86896</v>
      </c>
      <c r="BK11" s="103">
        <v>324208</v>
      </c>
      <c r="BL11" s="103">
        <v>21663</v>
      </c>
      <c r="BM11" s="103">
        <v>57769</v>
      </c>
      <c r="BN11" s="73">
        <f t="shared" si="0"/>
        <v>985832.42999999993</v>
      </c>
      <c r="BO11" s="73">
        <f t="shared" si="1"/>
        <v>3636813.81</v>
      </c>
    </row>
    <row r="12" spans="1:67" x14ac:dyDescent="0.25">
      <c r="A12" s="21" t="s">
        <v>210</v>
      </c>
      <c r="B12" s="84">
        <v>17373</v>
      </c>
      <c r="C12" s="84">
        <v>76171</v>
      </c>
      <c r="D12" s="84">
        <v>19997</v>
      </c>
      <c r="E12" s="84">
        <v>94717</v>
      </c>
      <c r="F12" s="103">
        <v>6699</v>
      </c>
      <c r="G12" s="103">
        <v>19259</v>
      </c>
      <c r="H12" s="84">
        <v>46104</v>
      </c>
      <c r="I12" s="84">
        <v>138177</v>
      </c>
      <c r="J12" s="84">
        <v>33837</v>
      </c>
      <c r="K12" s="84">
        <v>281181</v>
      </c>
      <c r="L12" s="84">
        <v>9868</v>
      </c>
      <c r="M12" s="84">
        <v>53321</v>
      </c>
      <c r="N12" s="103">
        <v>26089</v>
      </c>
      <c r="O12" s="103">
        <v>70060.92</v>
      </c>
      <c r="P12" s="84">
        <v>10759</v>
      </c>
      <c r="Q12" s="84">
        <v>75335</v>
      </c>
      <c r="R12" s="84">
        <v>22889</v>
      </c>
      <c r="S12" s="84">
        <v>270951</v>
      </c>
      <c r="T12" s="84">
        <v>716372</v>
      </c>
      <c r="U12" s="84">
        <v>1754585</v>
      </c>
      <c r="V12" s="84">
        <v>1007811</v>
      </c>
      <c r="W12" s="84">
        <v>4591145</v>
      </c>
      <c r="X12" s="84">
        <v>481927</v>
      </c>
      <c r="Y12" s="84">
        <v>1742941</v>
      </c>
      <c r="Z12" s="84">
        <v>200381</v>
      </c>
      <c r="AA12" s="84">
        <v>747090</v>
      </c>
      <c r="AB12" s="84">
        <v>28566</v>
      </c>
      <c r="AC12" s="84">
        <v>76851</v>
      </c>
      <c r="AD12" s="84">
        <v>85579</v>
      </c>
      <c r="AE12" s="84">
        <v>350217</v>
      </c>
      <c r="AF12" s="84">
        <v>2297</v>
      </c>
      <c r="AG12" s="84">
        <v>5394</v>
      </c>
      <c r="AH12" s="74">
        <v>-115887</v>
      </c>
      <c r="AI12" s="103">
        <v>224072</v>
      </c>
      <c r="AJ12" s="84">
        <v>60273</v>
      </c>
      <c r="AK12" s="84">
        <v>209142</v>
      </c>
      <c r="AL12" s="84">
        <v>156568</v>
      </c>
      <c r="AM12" s="84">
        <v>301448</v>
      </c>
      <c r="AN12" s="84">
        <v>-73380</v>
      </c>
      <c r="AO12" s="84">
        <v>46032</v>
      </c>
      <c r="AP12" s="84">
        <v>22462</v>
      </c>
      <c r="AQ12" s="84">
        <v>73159</v>
      </c>
      <c r="AR12" s="84">
        <v>43643</v>
      </c>
      <c r="AS12" s="84">
        <v>104564</v>
      </c>
      <c r="AT12" s="84">
        <v>442194</v>
      </c>
      <c r="AU12" s="84">
        <v>993676</v>
      </c>
      <c r="AV12" s="84">
        <v>6069</v>
      </c>
      <c r="AW12" s="84">
        <v>15151</v>
      </c>
      <c r="AX12" s="84">
        <v>214067</v>
      </c>
      <c r="AY12" s="84">
        <v>793131</v>
      </c>
      <c r="AZ12" s="84">
        <v>60212</v>
      </c>
      <c r="BA12" s="84">
        <v>235994</v>
      </c>
      <c r="BB12" s="84">
        <v>-171361</v>
      </c>
      <c r="BC12" s="84">
        <v>303816</v>
      </c>
      <c r="BD12" s="103">
        <v>1400922</v>
      </c>
      <c r="BE12" s="103">
        <v>4421873</v>
      </c>
      <c r="BF12" s="84">
        <v>177976</v>
      </c>
      <c r="BG12" s="84">
        <v>570964</v>
      </c>
      <c r="BH12" s="103">
        <v>36799</v>
      </c>
      <c r="BI12" s="103">
        <v>92062</v>
      </c>
      <c r="BJ12" s="103">
        <v>18227</v>
      </c>
      <c r="BK12" s="103">
        <v>96874</v>
      </c>
      <c r="BL12" s="103">
        <v>30601</v>
      </c>
      <c r="BM12" s="103">
        <v>120074</v>
      </c>
      <c r="BN12" s="73">
        <f t="shared" si="0"/>
        <v>5025933</v>
      </c>
      <c r="BO12" s="73">
        <f t="shared" si="1"/>
        <v>18949427.920000002</v>
      </c>
    </row>
    <row r="13" spans="1:67" x14ac:dyDescent="0.25">
      <c r="A13" s="21" t="s">
        <v>211</v>
      </c>
      <c r="B13" s="84">
        <v>256920</v>
      </c>
      <c r="C13" s="84">
        <v>1097362</v>
      </c>
      <c r="D13" s="84">
        <v>699113</v>
      </c>
      <c r="E13" s="84">
        <v>2116498</v>
      </c>
      <c r="F13" s="103">
        <v>208267</v>
      </c>
      <c r="G13" s="103">
        <v>617381</v>
      </c>
      <c r="H13" s="84">
        <v>506949</v>
      </c>
      <c r="I13" s="84">
        <v>1222338</v>
      </c>
      <c r="J13" s="84">
        <v>1079019</v>
      </c>
      <c r="K13" s="84">
        <v>3497814</v>
      </c>
      <c r="L13" s="84">
        <v>777909</v>
      </c>
      <c r="M13" s="84">
        <v>2318631</v>
      </c>
      <c r="N13" s="103">
        <v>25527.13</v>
      </c>
      <c r="O13" s="103">
        <v>51039.78</v>
      </c>
      <c r="P13" s="84">
        <v>56895</v>
      </c>
      <c r="Q13" s="84">
        <v>210798</v>
      </c>
      <c r="R13" s="84">
        <v>514275</v>
      </c>
      <c r="S13" s="84">
        <v>1877508</v>
      </c>
      <c r="T13" s="84">
        <v>1874534</v>
      </c>
      <c r="U13" s="84">
        <v>4075017</v>
      </c>
      <c r="V13" s="84">
        <v>2450766</v>
      </c>
      <c r="W13" s="84">
        <v>6153022</v>
      </c>
      <c r="X13" s="84">
        <v>805050</v>
      </c>
      <c r="Y13" s="84">
        <v>1997190</v>
      </c>
      <c r="Z13" s="84">
        <v>632871</v>
      </c>
      <c r="AA13" s="84">
        <v>1397478</v>
      </c>
      <c r="AB13" s="84">
        <v>123010</v>
      </c>
      <c r="AC13" s="84">
        <v>385035</v>
      </c>
      <c r="AD13" s="84">
        <v>337385</v>
      </c>
      <c r="AE13" s="84">
        <v>1283580</v>
      </c>
      <c r="AF13" s="84">
        <v>128586</v>
      </c>
      <c r="AG13" s="84">
        <v>329047</v>
      </c>
      <c r="AH13" s="74">
        <v>274078</v>
      </c>
      <c r="AI13" s="103">
        <v>839922</v>
      </c>
      <c r="AJ13" s="84">
        <v>627632</v>
      </c>
      <c r="AK13" s="84">
        <v>1561320</v>
      </c>
      <c r="AL13" s="84">
        <v>38398</v>
      </c>
      <c r="AM13" s="84">
        <v>85634</v>
      </c>
      <c r="AN13" s="84">
        <v>59773</v>
      </c>
      <c r="AO13" s="84">
        <v>133129</v>
      </c>
      <c r="AP13" s="84">
        <v>103302</v>
      </c>
      <c r="AQ13" s="84">
        <v>427320</v>
      </c>
      <c r="AR13" s="84">
        <v>2882882</v>
      </c>
      <c r="AS13" s="84">
        <v>9047393</v>
      </c>
      <c r="AT13" s="84">
        <v>355128</v>
      </c>
      <c r="AU13" s="84">
        <v>1247838</v>
      </c>
      <c r="AV13" s="84">
        <v>145354</v>
      </c>
      <c r="AW13" s="84">
        <v>527646</v>
      </c>
      <c r="AX13" s="84">
        <v>772632</v>
      </c>
      <c r="AY13" s="84">
        <v>1353417</v>
      </c>
      <c r="AZ13" s="84">
        <v>63</v>
      </c>
      <c r="BA13" s="84">
        <v>489</v>
      </c>
      <c r="BB13" s="84">
        <v>527901</v>
      </c>
      <c r="BC13" s="84">
        <v>1359140</v>
      </c>
      <c r="BD13" s="103">
        <v>2992969</v>
      </c>
      <c r="BE13" s="103">
        <v>4581561</v>
      </c>
      <c r="BF13" s="84">
        <v>-45326</v>
      </c>
      <c r="BG13" s="84">
        <v>282312</v>
      </c>
      <c r="BH13" s="103">
        <v>26302</v>
      </c>
      <c r="BI13" s="103">
        <v>52829</v>
      </c>
      <c r="BJ13" s="103">
        <v>-3875</v>
      </c>
      <c r="BK13" s="103">
        <v>33136</v>
      </c>
      <c r="BL13" s="103">
        <v>13107</v>
      </c>
      <c r="BM13" s="103">
        <v>46092</v>
      </c>
      <c r="BN13" s="73">
        <f t="shared" si="0"/>
        <v>19247396.129999999</v>
      </c>
      <c r="BO13" s="73">
        <f t="shared" si="1"/>
        <v>50208916.780000001</v>
      </c>
    </row>
    <row r="14" spans="1:67" x14ac:dyDescent="0.25">
      <c r="A14" s="21" t="s">
        <v>212</v>
      </c>
      <c r="B14" s="84">
        <v>7102</v>
      </c>
      <c r="C14" s="84">
        <v>24386</v>
      </c>
      <c r="D14" s="84">
        <v>6524</v>
      </c>
      <c r="E14" s="84">
        <v>23221</v>
      </c>
      <c r="F14" s="84">
        <v>-834</v>
      </c>
      <c r="G14" s="103">
        <v>4756</v>
      </c>
      <c r="H14" s="84">
        <v>91625</v>
      </c>
      <c r="I14" s="84">
        <v>269892</v>
      </c>
      <c r="J14" s="84">
        <v>24042</v>
      </c>
      <c r="K14" s="84">
        <v>84942</v>
      </c>
      <c r="L14" s="84">
        <v>31488</v>
      </c>
      <c r="M14" s="84">
        <v>113316</v>
      </c>
      <c r="N14" s="103">
        <v>272.26</v>
      </c>
      <c r="O14" s="103">
        <v>529.55999999999995</v>
      </c>
      <c r="P14" s="84">
        <v>997</v>
      </c>
      <c r="Q14" s="84">
        <v>2151</v>
      </c>
      <c r="R14" s="84">
        <v>29789</v>
      </c>
      <c r="S14" s="84">
        <v>59621</v>
      </c>
      <c r="T14" s="84">
        <v>27405</v>
      </c>
      <c r="U14" s="84">
        <v>76113</v>
      </c>
      <c r="V14" s="84">
        <v>131787</v>
      </c>
      <c r="W14" s="84">
        <v>466089</v>
      </c>
      <c r="X14" s="84">
        <v>144747</v>
      </c>
      <c r="Y14" s="84">
        <v>467186</v>
      </c>
      <c r="Z14" s="84">
        <v>101877</v>
      </c>
      <c r="AA14" s="84">
        <v>235182</v>
      </c>
      <c r="AB14" s="84">
        <v>6294</v>
      </c>
      <c r="AC14" s="84">
        <v>18833</v>
      </c>
      <c r="AD14" s="84">
        <v>10891</v>
      </c>
      <c r="AE14" s="84">
        <v>30930</v>
      </c>
      <c r="AF14" s="84">
        <v>2545</v>
      </c>
      <c r="AG14" s="84">
        <v>8232</v>
      </c>
      <c r="AH14" s="74">
        <v>8463</v>
      </c>
      <c r="AI14" s="103">
        <v>32826</v>
      </c>
      <c r="AJ14" s="84">
        <v>13539</v>
      </c>
      <c r="AK14" s="84">
        <v>59384</v>
      </c>
      <c r="AL14" s="84">
        <v>164870</v>
      </c>
      <c r="AM14" s="84">
        <v>184814</v>
      </c>
      <c r="AN14" s="84">
        <v>-2531</v>
      </c>
      <c r="AO14" s="84">
        <v>1042</v>
      </c>
      <c r="AP14" s="84">
        <v>4300</v>
      </c>
      <c r="AQ14" s="84">
        <v>9161</v>
      </c>
      <c r="AR14" s="84">
        <v>56184</v>
      </c>
      <c r="AS14" s="84">
        <v>162821</v>
      </c>
      <c r="AT14" s="84">
        <v>24738</v>
      </c>
      <c r="AU14" s="84">
        <v>79138</v>
      </c>
      <c r="AV14" s="84">
        <v>17597</v>
      </c>
      <c r="AW14" s="84">
        <v>64343</v>
      </c>
      <c r="AX14" s="84">
        <v>26574</v>
      </c>
      <c r="AY14" s="84">
        <v>62759</v>
      </c>
      <c r="AZ14" s="84">
        <v>28161</v>
      </c>
      <c r="BA14" s="84">
        <v>105666</v>
      </c>
      <c r="BB14" s="84">
        <v>12850</v>
      </c>
      <c r="BC14" s="84">
        <v>27661</v>
      </c>
      <c r="BD14" s="103">
        <v>57907</v>
      </c>
      <c r="BE14" s="103">
        <v>217655</v>
      </c>
      <c r="BF14" s="84">
        <v>97750</v>
      </c>
      <c r="BG14" s="84">
        <v>185875</v>
      </c>
      <c r="BH14" s="103">
        <v>65211</v>
      </c>
      <c r="BI14" s="103">
        <v>109262</v>
      </c>
      <c r="BJ14" s="103">
        <v>62882</v>
      </c>
      <c r="BK14" s="103">
        <v>249665</v>
      </c>
      <c r="BL14" s="103">
        <v>9548</v>
      </c>
      <c r="BM14" s="103">
        <v>29227</v>
      </c>
      <c r="BN14" s="73">
        <f t="shared" si="0"/>
        <v>1264594.26</v>
      </c>
      <c r="BO14" s="73">
        <f t="shared" si="1"/>
        <v>3466678.56</v>
      </c>
    </row>
    <row r="15" spans="1:67" x14ac:dyDescent="0.25">
      <c r="A15" s="22" t="s">
        <v>32</v>
      </c>
      <c r="B15" s="84">
        <f>B18-B17-B16-B14-B13-B12-B11-B10-B9-B8-B7-B6-B5</f>
        <v>98497</v>
      </c>
      <c r="C15" s="84">
        <f t="shared" ref="C15:BL15" si="2">C18-C17-C16-C14-C13-C12-C11-C10-C9-C8-C7-C6-C5</f>
        <v>335032</v>
      </c>
      <c r="D15" s="84">
        <f t="shared" si="2"/>
        <v>156491</v>
      </c>
      <c r="E15" s="84">
        <f t="shared" si="2"/>
        <v>501422</v>
      </c>
      <c r="F15" s="84">
        <f t="shared" si="2"/>
        <v>135412</v>
      </c>
      <c r="G15" s="84">
        <f t="shared" si="2"/>
        <v>483614</v>
      </c>
      <c r="H15" s="84">
        <f t="shared" si="2"/>
        <v>2485988</v>
      </c>
      <c r="I15" s="84">
        <f t="shared" si="2"/>
        <v>9487105</v>
      </c>
      <c r="J15" s="84">
        <f t="shared" si="2"/>
        <v>229019</v>
      </c>
      <c r="K15" s="84">
        <f t="shared" si="2"/>
        <v>835650</v>
      </c>
      <c r="L15" s="84">
        <f t="shared" si="2"/>
        <v>1972745</v>
      </c>
      <c r="M15" s="84">
        <f t="shared" si="2"/>
        <v>6740786</v>
      </c>
      <c r="N15" s="84">
        <f t="shared" si="2"/>
        <v>110938.11999999988</v>
      </c>
      <c r="O15" s="84">
        <f t="shared" si="2"/>
        <v>237985.41000000038</v>
      </c>
      <c r="P15" s="84">
        <f t="shared" si="2"/>
        <v>42688</v>
      </c>
      <c r="Q15" s="84">
        <f t="shared" si="2"/>
        <v>112670</v>
      </c>
      <c r="R15" s="84">
        <f t="shared" si="2"/>
        <v>1106046</v>
      </c>
      <c r="S15" s="84">
        <f t="shared" si="2"/>
        <v>2959748</v>
      </c>
      <c r="T15" s="84">
        <f t="shared" si="2"/>
        <v>342239</v>
      </c>
      <c r="U15" s="84">
        <f t="shared" si="2"/>
        <v>1169951</v>
      </c>
      <c r="V15" s="84">
        <f t="shared" si="2"/>
        <v>240977</v>
      </c>
      <c r="W15" s="84">
        <f t="shared" si="2"/>
        <v>1212454</v>
      </c>
      <c r="X15" s="84">
        <f t="shared" si="2"/>
        <v>2949246</v>
      </c>
      <c r="Y15" s="84">
        <f t="shared" si="2"/>
        <v>12224612</v>
      </c>
      <c r="Z15" s="84">
        <f t="shared" si="2"/>
        <v>179770</v>
      </c>
      <c r="AA15" s="84">
        <f t="shared" si="2"/>
        <v>582320</v>
      </c>
      <c r="AB15" s="84">
        <f t="shared" si="2"/>
        <v>77492</v>
      </c>
      <c r="AC15" s="84">
        <f t="shared" si="2"/>
        <v>230345</v>
      </c>
      <c r="AD15" s="84">
        <f t="shared" si="2"/>
        <v>223527</v>
      </c>
      <c r="AE15" s="84">
        <f t="shared" si="2"/>
        <v>933900</v>
      </c>
      <c r="AF15" s="84">
        <f t="shared" si="2"/>
        <v>9176</v>
      </c>
      <c r="AG15" s="84">
        <f t="shared" si="2"/>
        <v>39944</v>
      </c>
      <c r="AH15" s="84">
        <f t="shared" si="2"/>
        <v>71710</v>
      </c>
      <c r="AI15" s="84">
        <f t="shared" si="2"/>
        <v>302622</v>
      </c>
      <c r="AJ15" s="84">
        <f t="shared" si="2"/>
        <v>7421</v>
      </c>
      <c r="AK15" s="84">
        <f t="shared" si="2"/>
        <v>21869</v>
      </c>
      <c r="AL15" s="84">
        <f t="shared" si="2"/>
        <v>1090754</v>
      </c>
      <c r="AM15" s="84">
        <f t="shared" si="2"/>
        <v>3237773</v>
      </c>
      <c r="AN15" s="84">
        <f t="shared" si="2"/>
        <v>24187</v>
      </c>
      <c r="AO15" s="84">
        <f t="shared" si="2"/>
        <v>90980</v>
      </c>
      <c r="AP15" s="84">
        <f t="shared" si="2"/>
        <v>3875</v>
      </c>
      <c r="AQ15" s="84">
        <f t="shared" si="2"/>
        <v>23526</v>
      </c>
      <c r="AR15" s="84">
        <f t="shared" si="2"/>
        <v>-43586</v>
      </c>
      <c r="AS15" s="84">
        <f t="shared" si="2"/>
        <v>596466</v>
      </c>
      <c r="AT15" s="84">
        <f t="shared" si="2"/>
        <v>56971</v>
      </c>
      <c r="AU15" s="84">
        <f t="shared" si="2"/>
        <v>164737</v>
      </c>
      <c r="AV15" s="84">
        <f t="shared" si="2"/>
        <v>752758</v>
      </c>
      <c r="AW15" s="84">
        <f t="shared" si="2"/>
        <v>1998058</v>
      </c>
      <c r="AX15" s="84">
        <f t="shared" si="2"/>
        <v>1229459</v>
      </c>
      <c r="AY15" s="84">
        <f t="shared" si="2"/>
        <v>3035806</v>
      </c>
      <c r="AZ15" s="84">
        <f t="shared" si="2"/>
        <v>817083</v>
      </c>
      <c r="BA15" s="84">
        <f t="shared" si="2"/>
        <v>2446870</v>
      </c>
      <c r="BB15" s="84">
        <f t="shared" si="2"/>
        <v>-348501</v>
      </c>
      <c r="BC15" s="84">
        <f t="shared" si="2"/>
        <v>-1345184</v>
      </c>
      <c r="BD15" s="84">
        <f t="shared" si="2"/>
        <v>-540644</v>
      </c>
      <c r="BE15" s="84">
        <f t="shared" si="2"/>
        <v>191921</v>
      </c>
      <c r="BF15" s="84">
        <f t="shared" si="2"/>
        <v>1183420</v>
      </c>
      <c r="BG15" s="84">
        <f t="shared" si="2"/>
        <v>5920570</v>
      </c>
      <c r="BH15" s="84">
        <f t="shared" si="2"/>
        <v>685388</v>
      </c>
      <c r="BI15" s="84">
        <f t="shared" si="2"/>
        <v>1316389</v>
      </c>
      <c r="BJ15" s="84">
        <f t="shared" si="2"/>
        <v>169405</v>
      </c>
      <c r="BK15" s="84">
        <f t="shared" si="2"/>
        <v>2682330</v>
      </c>
      <c r="BL15" s="84">
        <f t="shared" si="2"/>
        <v>486700</v>
      </c>
      <c r="BM15" s="84">
        <f t="shared" ref="BM15" si="3">BM18-BM17-BM16-BM14-BM13-BM12-BM11-BM10-BM9-BM8-BM7-BM6-BM5</f>
        <v>647533</v>
      </c>
      <c r="BN15" s="73">
        <f t="shared" si="0"/>
        <v>16006651.120000001</v>
      </c>
      <c r="BO15" s="73">
        <f t="shared" si="1"/>
        <v>59419804.409999996</v>
      </c>
    </row>
    <row r="16" spans="1:67" x14ac:dyDescent="0.25">
      <c r="A16" s="21" t="s">
        <v>213</v>
      </c>
      <c r="B16" s="84">
        <v>9022</v>
      </c>
      <c r="C16" s="84">
        <v>37252</v>
      </c>
      <c r="D16" s="84">
        <v>72195</v>
      </c>
      <c r="E16" s="84">
        <v>257920</v>
      </c>
      <c r="F16" s="103">
        <v>198258</v>
      </c>
      <c r="G16" s="103">
        <v>684920</v>
      </c>
      <c r="H16" s="84">
        <v>127139</v>
      </c>
      <c r="I16" s="84">
        <v>501833</v>
      </c>
      <c r="J16" s="84">
        <v>30089</v>
      </c>
      <c r="K16" s="84">
        <v>109254</v>
      </c>
      <c r="L16" s="84">
        <v>58183</v>
      </c>
      <c r="M16" s="84">
        <v>217434</v>
      </c>
      <c r="N16" s="103">
        <v>30899.93</v>
      </c>
      <c r="O16" s="103">
        <v>66568.3</v>
      </c>
      <c r="P16" s="84">
        <v>11984</v>
      </c>
      <c r="Q16" s="84">
        <v>47831</v>
      </c>
      <c r="R16" s="84">
        <v>30694</v>
      </c>
      <c r="S16" s="84">
        <v>118992</v>
      </c>
      <c r="T16" s="84">
        <v>23695</v>
      </c>
      <c r="U16" s="84">
        <v>89711</v>
      </c>
      <c r="V16" s="84">
        <v>137223</v>
      </c>
      <c r="W16" s="84">
        <v>573827</v>
      </c>
      <c r="X16" s="84">
        <v>324589</v>
      </c>
      <c r="Y16" s="84">
        <v>1299572</v>
      </c>
      <c r="Z16" s="84">
        <v>84294</v>
      </c>
      <c r="AA16" s="84">
        <v>284082</v>
      </c>
      <c r="AB16" s="84">
        <v>11804</v>
      </c>
      <c r="AC16" s="84">
        <v>45450</v>
      </c>
      <c r="AD16" s="84">
        <v>60611</v>
      </c>
      <c r="AE16" s="84">
        <v>244211</v>
      </c>
      <c r="AF16" s="84">
        <v>3067</v>
      </c>
      <c r="AG16" s="84">
        <v>10093</v>
      </c>
      <c r="AH16" s="74">
        <v>18243</v>
      </c>
      <c r="AI16" s="103">
        <v>91831</v>
      </c>
      <c r="AJ16" s="84">
        <v>25459</v>
      </c>
      <c r="AK16" s="84">
        <v>220531</v>
      </c>
      <c r="AL16" s="84">
        <v>204941</v>
      </c>
      <c r="AM16" s="84">
        <v>672632</v>
      </c>
      <c r="AN16" s="84">
        <v>3582</v>
      </c>
      <c r="AO16" s="84">
        <v>93514</v>
      </c>
      <c r="AP16" s="84">
        <v>7290</v>
      </c>
      <c r="AQ16" s="84">
        <v>20484</v>
      </c>
      <c r="AR16" s="84">
        <v>39612</v>
      </c>
      <c r="AS16" s="84">
        <v>162066</v>
      </c>
      <c r="AT16" s="84">
        <v>50268</v>
      </c>
      <c r="AU16" s="84">
        <v>197991</v>
      </c>
      <c r="AV16" s="84">
        <v>33150</v>
      </c>
      <c r="AW16" s="84">
        <v>133818</v>
      </c>
      <c r="AX16" s="84">
        <v>174462</v>
      </c>
      <c r="AY16" s="84">
        <v>633266</v>
      </c>
      <c r="AZ16" s="84">
        <v>9894</v>
      </c>
      <c r="BA16" s="84">
        <v>45714</v>
      </c>
      <c r="BB16" s="84">
        <v>78890</v>
      </c>
      <c r="BC16" s="84">
        <v>457297</v>
      </c>
      <c r="BD16" s="103">
        <v>114951</v>
      </c>
      <c r="BE16" s="103">
        <v>506500</v>
      </c>
      <c r="BF16" s="84">
        <v>244043</v>
      </c>
      <c r="BG16" s="84">
        <v>984568</v>
      </c>
      <c r="BH16" s="103">
        <v>120702</v>
      </c>
      <c r="BI16" s="103">
        <v>578202</v>
      </c>
      <c r="BJ16" s="103">
        <v>100164</v>
      </c>
      <c r="BK16" s="103">
        <v>404824</v>
      </c>
      <c r="BL16" s="103">
        <v>32661</v>
      </c>
      <c r="BM16" s="103">
        <v>129408</v>
      </c>
      <c r="BN16" s="73">
        <f t="shared" si="0"/>
        <v>2472058.9300000002</v>
      </c>
      <c r="BO16" s="73">
        <f t="shared" si="1"/>
        <v>9921596.3000000007</v>
      </c>
    </row>
    <row r="17" spans="1:67" x14ac:dyDescent="0.25">
      <c r="A17" s="21" t="s">
        <v>214</v>
      </c>
      <c r="B17" s="84">
        <v>1245</v>
      </c>
      <c r="C17" s="84">
        <v>1411</v>
      </c>
      <c r="D17" s="84"/>
      <c r="E17" s="84"/>
      <c r="F17" s="103">
        <v>50383</v>
      </c>
      <c r="G17" s="103">
        <v>265280</v>
      </c>
      <c r="H17" s="84">
        <v>40124</v>
      </c>
      <c r="I17" s="84">
        <v>175839</v>
      </c>
      <c r="J17" s="84"/>
      <c r="K17" s="84"/>
      <c r="L17" s="84"/>
      <c r="M17" s="84"/>
      <c r="N17" s="84"/>
      <c r="O17" s="84"/>
      <c r="P17" s="84">
        <v>4164</v>
      </c>
      <c r="Q17" s="84">
        <v>5544</v>
      </c>
      <c r="R17" s="84">
        <v>8827</v>
      </c>
      <c r="S17" s="84">
        <v>48645</v>
      </c>
      <c r="T17" s="84">
        <v>3995</v>
      </c>
      <c r="U17" s="84">
        <v>6325</v>
      </c>
      <c r="V17" s="84"/>
      <c r="W17" s="84"/>
      <c r="X17" s="84"/>
      <c r="Y17" s="84"/>
      <c r="Z17" s="84">
        <v>-4486</v>
      </c>
      <c r="AA17" s="84">
        <v>27871</v>
      </c>
      <c r="AB17" s="84"/>
      <c r="AC17" s="84"/>
      <c r="AD17" s="84"/>
      <c r="AE17" s="84"/>
      <c r="AF17" s="84"/>
      <c r="AG17" s="84"/>
      <c r="AH17" s="10"/>
      <c r="AI17" s="84"/>
      <c r="AJ17" s="84">
        <v>1303</v>
      </c>
      <c r="AK17" s="84">
        <v>4074</v>
      </c>
      <c r="AL17" s="84">
        <v>282948</v>
      </c>
      <c r="AM17" s="84">
        <v>291942</v>
      </c>
      <c r="AN17" s="84">
        <v>1761</v>
      </c>
      <c r="AO17" s="84">
        <v>3550</v>
      </c>
      <c r="AP17" s="84">
        <v>1071</v>
      </c>
      <c r="AQ17" s="84">
        <v>1373</v>
      </c>
      <c r="AR17" s="84"/>
      <c r="AS17" s="84"/>
      <c r="AT17" s="84">
        <v>1465</v>
      </c>
      <c r="AU17" s="84">
        <v>1744</v>
      </c>
      <c r="AV17" s="84">
        <v>1288</v>
      </c>
      <c r="AW17" s="84">
        <v>5695</v>
      </c>
      <c r="AX17" s="84"/>
      <c r="AY17" s="84"/>
      <c r="AZ17" s="84"/>
      <c r="BA17" s="84"/>
      <c r="BB17" s="84"/>
      <c r="BC17" s="84"/>
      <c r="BD17" s="103">
        <v>-16580</v>
      </c>
      <c r="BE17" s="103">
        <v>27476</v>
      </c>
      <c r="BF17" s="84">
        <v>80768</v>
      </c>
      <c r="BG17" s="84">
        <v>300996</v>
      </c>
      <c r="BH17" s="84"/>
      <c r="BI17" s="84"/>
      <c r="BJ17" s="103">
        <v>20362</v>
      </c>
      <c r="BK17" s="103">
        <v>20362</v>
      </c>
      <c r="BL17" s="103">
        <v>-39098</v>
      </c>
      <c r="BM17" s="103">
        <v>312416</v>
      </c>
      <c r="BN17" s="73">
        <f t="shared" si="0"/>
        <v>439540</v>
      </c>
      <c r="BO17" s="73">
        <f t="shared" si="1"/>
        <v>1500543</v>
      </c>
    </row>
    <row r="18" spans="1:67" s="7" customFormat="1" x14ac:dyDescent="0.25">
      <c r="A18" s="3" t="s">
        <v>42</v>
      </c>
      <c r="B18" s="10">
        <v>504002</v>
      </c>
      <c r="C18" s="10">
        <v>2088922</v>
      </c>
      <c r="D18" s="10">
        <v>1893626</v>
      </c>
      <c r="E18" s="10">
        <v>6475362</v>
      </c>
      <c r="F18" s="10">
        <v>770597</v>
      </c>
      <c r="G18" s="10">
        <v>2805780</v>
      </c>
      <c r="H18" s="10">
        <v>5636769</v>
      </c>
      <c r="I18" s="10">
        <v>20597714</v>
      </c>
      <c r="J18" s="10">
        <v>2369853</v>
      </c>
      <c r="K18" s="10">
        <v>8101670</v>
      </c>
      <c r="L18" s="10">
        <v>3191781</v>
      </c>
      <c r="M18" s="10">
        <v>11148317</v>
      </c>
      <c r="N18" s="10">
        <v>1021583.49</v>
      </c>
      <c r="O18" s="10">
        <v>2709257.55</v>
      </c>
      <c r="P18" s="10">
        <v>288607</v>
      </c>
      <c r="Q18" s="10">
        <v>1095456</v>
      </c>
      <c r="R18" s="10">
        <v>2525181</v>
      </c>
      <c r="S18" s="10">
        <v>8619363</v>
      </c>
      <c r="T18" s="10">
        <v>3288472</v>
      </c>
      <c r="U18" s="10">
        <v>8637505</v>
      </c>
      <c r="V18" s="10">
        <v>5849843</v>
      </c>
      <c r="W18" s="10">
        <v>19868937</v>
      </c>
      <c r="X18" s="10">
        <v>7228109</v>
      </c>
      <c r="Y18" s="10">
        <v>27341839</v>
      </c>
      <c r="Z18" s="10">
        <v>2369414</v>
      </c>
      <c r="AA18" s="10">
        <v>7823784</v>
      </c>
      <c r="AB18" s="10">
        <v>492207</v>
      </c>
      <c r="AC18" s="10">
        <v>1624277</v>
      </c>
      <c r="AD18" s="10">
        <v>1120522</v>
      </c>
      <c r="AE18" s="10">
        <v>4880436</v>
      </c>
      <c r="AF18" s="10">
        <v>184874</v>
      </c>
      <c r="AG18" s="10">
        <v>540308</v>
      </c>
      <c r="AH18" s="10">
        <v>851795</v>
      </c>
      <c r="AI18" s="10">
        <v>3291640</v>
      </c>
      <c r="AJ18" s="10">
        <v>1827018</v>
      </c>
      <c r="AK18" s="10">
        <v>5495421</v>
      </c>
      <c r="AL18" s="10">
        <v>10279882</v>
      </c>
      <c r="AM18" s="10">
        <v>34346284</v>
      </c>
      <c r="AN18" s="10">
        <v>205330</v>
      </c>
      <c r="AO18" s="10">
        <v>858188</v>
      </c>
      <c r="AP18" s="10">
        <v>348207</v>
      </c>
      <c r="AQ18" s="10">
        <v>1117508</v>
      </c>
      <c r="AR18" s="10">
        <v>4603533</v>
      </c>
      <c r="AS18" s="10">
        <v>15820769</v>
      </c>
      <c r="AT18" s="10">
        <v>2195847</v>
      </c>
      <c r="AU18" s="10">
        <v>7210418</v>
      </c>
      <c r="AV18" s="10">
        <v>1453674</v>
      </c>
      <c r="AW18" s="10">
        <v>4964364</v>
      </c>
      <c r="AX18" s="10">
        <v>3318498</v>
      </c>
      <c r="AY18" s="10">
        <v>10337717</v>
      </c>
      <c r="AZ18" s="10">
        <v>1183917</v>
      </c>
      <c r="BA18" s="10">
        <v>4014060</v>
      </c>
      <c r="BB18" s="10">
        <v>4531431</v>
      </c>
      <c r="BC18" s="10">
        <v>14030512</v>
      </c>
      <c r="BD18" s="10">
        <v>4860732</v>
      </c>
      <c r="BE18" s="10">
        <v>17637778</v>
      </c>
      <c r="BF18" s="10">
        <v>12649566</v>
      </c>
      <c r="BG18" s="10">
        <v>53766463</v>
      </c>
      <c r="BH18" s="10">
        <v>7446625</v>
      </c>
      <c r="BI18" s="10">
        <v>30428114</v>
      </c>
      <c r="BJ18" s="10">
        <v>12740877</v>
      </c>
      <c r="BK18" s="10">
        <v>39050237</v>
      </c>
      <c r="BL18" s="10">
        <v>1007933</v>
      </c>
      <c r="BM18" s="10">
        <v>2728109</v>
      </c>
      <c r="BN18" s="68">
        <f>SUM(B18+D18+F18+H18+J18+L18+N18+P18+R18+T18+V18+X18+Z18+AB18+AD18+AF18+AH18+AJ18+AL18+AN18+AP18+AR18+AT18+AV18+AX18+AZ18+BB18+BD18+BF18+BH18+BJ18+BL18)</f>
        <v>108240305.49000001</v>
      </c>
      <c r="BO18" s="68">
        <f>SUM(C18+E18+G18+I18+K18+M18+O18+Q18+S18+U18+W18+Y18+AA18+AC18+AE18+AG18+AI18+AK18+AM18+AO18+AQ18+AS18+AU18+AW18+AY18+BA18+BC18+BE18+BG18+BI18+BK18+BM18)</f>
        <v>379456509.55000001</v>
      </c>
    </row>
  </sheetData>
  <mergeCells count="33">
    <mergeCell ref="L3:M3"/>
    <mergeCell ref="B3:C3"/>
    <mergeCell ref="D3:E3"/>
    <mergeCell ref="F3:G3"/>
    <mergeCell ref="H3:I3"/>
    <mergeCell ref="J3:K3"/>
    <mergeCell ref="BD3:BE3"/>
    <mergeCell ref="AH3:AI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T3:AU3"/>
    <mergeCell ref="AV3:AW3"/>
    <mergeCell ref="AX3:AY3"/>
    <mergeCell ref="AZ3:BA3"/>
    <mergeCell ref="BB3:BC3"/>
    <mergeCell ref="AJ3:AK3"/>
    <mergeCell ref="AL3:AM3"/>
    <mergeCell ref="AN3:AO3"/>
    <mergeCell ref="AP3:AQ3"/>
    <mergeCell ref="AR3:AS3"/>
    <mergeCell ref="BH3:BI3"/>
    <mergeCell ref="BJ3:BK3"/>
    <mergeCell ref="BL3:BM3"/>
    <mergeCell ref="BN3:BO3"/>
    <mergeCell ref="BF3:BG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76" customWidth="1"/>
    <col min="2" max="33" width="16" style="76" customWidth="1"/>
    <col min="34" max="34" width="16" style="7" customWidth="1"/>
    <col min="35" max="16384" width="9.140625" style="76"/>
  </cols>
  <sheetData>
    <row r="1" spans="1:34" ht="18.75" x14ac:dyDescent="0.3">
      <c r="A1" s="8" t="s">
        <v>299</v>
      </c>
    </row>
    <row r="2" spans="1:34" x14ac:dyDescent="0.25">
      <c r="A2" s="76" t="s">
        <v>34</v>
      </c>
    </row>
    <row r="3" spans="1:34" x14ac:dyDescent="0.25">
      <c r="A3" s="1" t="s">
        <v>0</v>
      </c>
      <c r="B3" s="93" t="s">
        <v>1</v>
      </c>
      <c r="C3" s="93" t="s">
        <v>282</v>
      </c>
      <c r="D3" s="93" t="s">
        <v>2</v>
      </c>
      <c r="E3" s="93" t="s">
        <v>3</v>
      </c>
      <c r="F3" s="93" t="s">
        <v>4</v>
      </c>
      <c r="G3" s="93" t="s">
        <v>283</v>
      </c>
      <c r="H3" s="93" t="s">
        <v>6</v>
      </c>
      <c r="I3" s="93" t="s">
        <v>5</v>
      </c>
      <c r="J3" s="93" t="s">
        <v>7</v>
      </c>
      <c r="K3" s="93" t="s">
        <v>284</v>
      </c>
      <c r="L3" s="93" t="s">
        <v>8</v>
      </c>
      <c r="M3" s="93" t="s">
        <v>9</v>
      </c>
      <c r="N3" s="93" t="s">
        <v>10</v>
      </c>
      <c r="O3" s="93" t="s">
        <v>293</v>
      </c>
      <c r="P3" s="93" t="s">
        <v>11</v>
      </c>
      <c r="Q3" s="93" t="s">
        <v>12</v>
      </c>
      <c r="R3" s="93" t="s">
        <v>285</v>
      </c>
      <c r="S3" s="93" t="s">
        <v>290</v>
      </c>
      <c r="T3" s="93" t="s">
        <v>13</v>
      </c>
      <c r="U3" s="93" t="s">
        <v>286</v>
      </c>
      <c r="V3" s="93" t="s">
        <v>287</v>
      </c>
      <c r="W3" s="93" t="s">
        <v>291</v>
      </c>
      <c r="X3" s="93" t="s">
        <v>294</v>
      </c>
      <c r="Y3" s="93" t="s">
        <v>14</v>
      </c>
      <c r="Z3" s="93" t="s">
        <v>15</v>
      </c>
      <c r="AA3" s="93" t="s">
        <v>16</v>
      </c>
      <c r="AB3" s="93" t="s">
        <v>17</v>
      </c>
      <c r="AC3" s="93" t="s">
        <v>18</v>
      </c>
      <c r="AD3" s="92" t="s">
        <v>288</v>
      </c>
      <c r="AE3" s="92" t="s">
        <v>289</v>
      </c>
      <c r="AF3" s="92" t="s">
        <v>19</v>
      </c>
      <c r="AG3" s="93" t="s">
        <v>20</v>
      </c>
      <c r="AH3" s="91" t="s">
        <v>21</v>
      </c>
    </row>
    <row r="4" spans="1:34" x14ac:dyDescent="0.25">
      <c r="A4" s="84" t="s">
        <v>35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>
        <v>575</v>
      </c>
      <c r="AE4" s="84">
        <v>2565</v>
      </c>
      <c r="AF4" s="84">
        <v>13589</v>
      </c>
      <c r="AG4" s="84"/>
      <c r="AH4" s="69">
        <f t="shared" ref="AH4:AH11" si="0">SUM(B4:AG4)</f>
        <v>16729</v>
      </c>
    </row>
    <row r="5" spans="1:34" x14ac:dyDescent="0.25">
      <c r="A5" s="84" t="s">
        <v>36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103"/>
      <c r="AH5" s="69">
        <f t="shared" si="0"/>
        <v>0</v>
      </c>
    </row>
    <row r="6" spans="1:34" x14ac:dyDescent="0.25">
      <c r="A6" s="84" t="s">
        <v>37</v>
      </c>
      <c r="B6" s="84"/>
      <c r="C6" s="84">
        <v>10206057</v>
      </c>
      <c r="D6" s="84"/>
      <c r="E6" s="84">
        <v>1666197</v>
      </c>
      <c r="F6" s="25">
        <v>1719685</v>
      </c>
      <c r="G6" s="84">
        <v>1432645</v>
      </c>
      <c r="H6" s="84"/>
      <c r="I6" s="84"/>
      <c r="J6" s="84"/>
      <c r="K6" s="84">
        <v>9548920</v>
      </c>
      <c r="L6" s="84">
        <v>14012512</v>
      </c>
      <c r="M6" s="84">
        <v>15829444</v>
      </c>
      <c r="N6" s="84">
        <v>4519821</v>
      </c>
      <c r="O6" s="84"/>
      <c r="P6" s="84">
        <v>7481249</v>
      </c>
      <c r="Q6" s="84">
        <v>2796224</v>
      </c>
      <c r="R6">
        <v>3298637</v>
      </c>
      <c r="S6" s="84">
        <v>567529</v>
      </c>
      <c r="T6" s="84"/>
      <c r="U6" s="84"/>
      <c r="V6" s="84">
        <v>923661</v>
      </c>
      <c r="W6" s="84">
        <v>7667050</v>
      </c>
      <c r="X6" s="84">
        <v>2614844</v>
      </c>
      <c r="Y6" s="84">
        <v>2550000</v>
      </c>
      <c r="Z6" s="84">
        <v>13326000</v>
      </c>
      <c r="AA6" s="84">
        <v>1968</v>
      </c>
      <c r="AB6" s="84">
        <v>36607852</v>
      </c>
      <c r="AC6" s="84">
        <v>4705428</v>
      </c>
      <c r="AD6" s="84">
        <v>18908542</v>
      </c>
      <c r="AE6" s="84"/>
      <c r="AF6" s="84"/>
      <c r="AG6" s="103">
        <v>1676182</v>
      </c>
      <c r="AH6" s="69">
        <f t="shared" si="0"/>
        <v>162060447</v>
      </c>
    </row>
    <row r="7" spans="1:34" x14ac:dyDescent="0.25">
      <c r="A7" s="84" t="s">
        <v>38</v>
      </c>
      <c r="B7" s="84"/>
      <c r="C7" s="84"/>
      <c r="D7" s="84">
        <v>44339935</v>
      </c>
      <c r="E7" s="84"/>
      <c r="F7" s="84"/>
      <c r="G7" s="84">
        <v>7847567</v>
      </c>
      <c r="H7" s="103">
        <v>29557229.27</v>
      </c>
      <c r="I7" s="84"/>
      <c r="J7" s="84"/>
      <c r="K7" s="84"/>
      <c r="L7" s="84"/>
      <c r="M7" s="84">
        <v>333642</v>
      </c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>
        <v>151237</v>
      </c>
      <c r="AD7" s="84">
        <f>130157433+16046907</f>
        <v>146204340</v>
      </c>
      <c r="AE7" s="84">
        <v>11386629</v>
      </c>
      <c r="AF7" s="84">
        <v>2157015</v>
      </c>
      <c r="AG7" s="103"/>
      <c r="AH7" s="69">
        <f t="shared" si="0"/>
        <v>241977594.26999998</v>
      </c>
    </row>
    <row r="8" spans="1:34" x14ac:dyDescent="0.25">
      <c r="A8" s="84" t="s">
        <v>39</v>
      </c>
      <c r="B8" s="84"/>
      <c r="C8" s="84"/>
      <c r="D8" s="84"/>
      <c r="E8" s="84"/>
      <c r="F8" s="84"/>
      <c r="G8" s="84"/>
      <c r="H8" s="103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103"/>
      <c r="AH8" s="69">
        <f t="shared" si="0"/>
        <v>0</v>
      </c>
    </row>
    <row r="9" spans="1:34" x14ac:dyDescent="0.25">
      <c r="A9" s="84" t="s">
        <v>40</v>
      </c>
      <c r="B9" s="84">
        <f>B11-B10-B8-B7-B6-B5-B4</f>
        <v>0</v>
      </c>
      <c r="C9" s="84">
        <f t="shared" ref="C9:AG9" si="1">C11-C10-C8-C7-C6-C5-C4</f>
        <v>0</v>
      </c>
      <c r="D9" s="84">
        <f>D11-D10-D8-D7-D6-D5-D4</f>
        <v>0</v>
      </c>
      <c r="E9" s="84">
        <f t="shared" si="1"/>
        <v>0</v>
      </c>
      <c r="F9" s="84">
        <f t="shared" si="1"/>
        <v>0</v>
      </c>
      <c r="G9" s="84">
        <f t="shared" si="1"/>
        <v>200000</v>
      </c>
      <c r="H9" s="103">
        <f t="shared" si="1"/>
        <v>600000</v>
      </c>
      <c r="I9" s="84">
        <f t="shared" si="1"/>
        <v>0</v>
      </c>
      <c r="J9" s="84">
        <f t="shared" si="1"/>
        <v>0</v>
      </c>
      <c r="K9" s="84">
        <f t="shared" si="1"/>
        <v>182449</v>
      </c>
      <c r="L9" s="84">
        <f t="shared" si="1"/>
        <v>3359482</v>
      </c>
      <c r="M9" s="84">
        <f t="shared" si="1"/>
        <v>277144</v>
      </c>
      <c r="N9" s="84">
        <f t="shared" si="1"/>
        <v>1166</v>
      </c>
      <c r="O9" s="84">
        <f t="shared" si="1"/>
        <v>0</v>
      </c>
      <c r="P9" s="84">
        <f t="shared" si="1"/>
        <v>0</v>
      </c>
      <c r="Q9" s="84">
        <f t="shared" si="1"/>
        <v>0</v>
      </c>
      <c r="R9" s="84">
        <f t="shared" si="1"/>
        <v>0</v>
      </c>
      <c r="S9" s="84">
        <f t="shared" si="1"/>
        <v>343</v>
      </c>
      <c r="T9" s="84">
        <f t="shared" si="1"/>
        <v>156456</v>
      </c>
      <c r="U9" s="84">
        <f t="shared" si="1"/>
        <v>0</v>
      </c>
      <c r="V9" s="84">
        <f t="shared" si="1"/>
        <v>0</v>
      </c>
      <c r="W9" s="84">
        <f t="shared" si="1"/>
        <v>207639</v>
      </c>
      <c r="X9" s="84">
        <f t="shared" si="1"/>
        <v>296625</v>
      </c>
      <c r="Y9" s="84">
        <f t="shared" si="1"/>
        <v>0</v>
      </c>
      <c r="Z9" s="84">
        <f t="shared" si="1"/>
        <v>0</v>
      </c>
      <c r="AA9" s="84">
        <f t="shared" si="1"/>
        <v>0</v>
      </c>
      <c r="AB9" s="84">
        <f t="shared" si="1"/>
        <v>150000</v>
      </c>
      <c r="AC9" s="84">
        <f t="shared" si="1"/>
        <v>445000</v>
      </c>
      <c r="AD9" s="84">
        <f t="shared" si="1"/>
        <v>16809817</v>
      </c>
      <c r="AE9" s="84">
        <f t="shared" si="1"/>
        <v>-15254427</v>
      </c>
      <c r="AF9" s="84">
        <f t="shared" si="1"/>
        <v>179277</v>
      </c>
      <c r="AG9" s="84">
        <f t="shared" si="1"/>
        <v>0</v>
      </c>
      <c r="AH9" s="69">
        <f t="shared" si="0"/>
        <v>7610971</v>
      </c>
    </row>
    <row r="10" spans="1:34" x14ac:dyDescent="0.25">
      <c r="A10" s="84" t="s">
        <v>41</v>
      </c>
      <c r="B10" s="84"/>
      <c r="C10" s="84"/>
      <c r="D10" s="84"/>
      <c r="E10" s="84">
        <v>68560886</v>
      </c>
      <c r="F10" s="84"/>
      <c r="G10" s="84">
        <v>6377386</v>
      </c>
      <c r="H10" s="103">
        <v>1595000</v>
      </c>
      <c r="I10" s="84"/>
      <c r="J10" s="84">
        <v>2127058</v>
      </c>
      <c r="K10" s="84"/>
      <c r="L10" s="84">
        <v>7783933</v>
      </c>
      <c r="M10" s="84">
        <v>53365290</v>
      </c>
      <c r="N10" s="84">
        <v>20513879</v>
      </c>
      <c r="O10" s="84"/>
      <c r="P10" s="84"/>
      <c r="Q10" s="84"/>
      <c r="R10" s="84"/>
      <c r="S10" s="84"/>
      <c r="T10" s="84"/>
      <c r="U10" s="84"/>
      <c r="V10" s="84"/>
      <c r="W10" s="84">
        <v>10152731</v>
      </c>
      <c r="X10" s="84"/>
      <c r="Y10" s="84">
        <v>6245545</v>
      </c>
      <c r="Z10" s="84">
        <v>11880304</v>
      </c>
      <c r="AA10" s="84">
        <v>18936496</v>
      </c>
      <c r="AB10" s="84"/>
      <c r="AC10" s="84">
        <v>14597734</v>
      </c>
      <c r="AD10" s="84"/>
      <c r="AE10" s="84"/>
      <c r="AF10" s="84">
        <v>900000</v>
      </c>
      <c r="AG10" s="103">
        <v>4791505</v>
      </c>
      <c r="AH10" s="69">
        <f t="shared" si="0"/>
        <v>227827747</v>
      </c>
    </row>
    <row r="11" spans="1:34" s="7" customFormat="1" x14ac:dyDescent="0.25">
      <c r="A11" s="10" t="s">
        <v>42</v>
      </c>
      <c r="B11" s="10"/>
      <c r="C11" s="10">
        <v>10206057</v>
      </c>
      <c r="D11" s="10">
        <v>44339935</v>
      </c>
      <c r="E11" s="10">
        <v>70227083</v>
      </c>
      <c r="F11" s="10">
        <v>1719685</v>
      </c>
      <c r="G11" s="10">
        <v>15857598</v>
      </c>
      <c r="H11" s="10">
        <v>31752229.27</v>
      </c>
      <c r="I11" s="10"/>
      <c r="J11" s="10">
        <v>2127058</v>
      </c>
      <c r="K11" s="10">
        <v>9731369</v>
      </c>
      <c r="L11" s="10">
        <v>25155927</v>
      </c>
      <c r="M11" s="10">
        <v>69805520</v>
      </c>
      <c r="N11" s="10">
        <v>25034866</v>
      </c>
      <c r="O11" s="10"/>
      <c r="P11" s="10">
        <v>7481249</v>
      </c>
      <c r="Q11" s="10">
        <v>2796224</v>
      </c>
      <c r="R11" s="10">
        <v>3298637</v>
      </c>
      <c r="S11" s="10">
        <v>567872</v>
      </c>
      <c r="T11" s="10">
        <v>156456</v>
      </c>
      <c r="U11" s="10"/>
      <c r="V11" s="10">
        <v>923661</v>
      </c>
      <c r="W11" s="10">
        <v>18027420</v>
      </c>
      <c r="X11" s="10">
        <v>2911469</v>
      </c>
      <c r="Y11" s="10">
        <v>8795545</v>
      </c>
      <c r="Z11" s="10">
        <v>25206304</v>
      </c>
      <c r="AA11" s="10">
        <v>18938464</v>
      </c>
      <c r="AB11" s="10">
        <v>36757852</v>
      </c>
      <c r="AC11" s="10">
        <v>19899399</v>
      </c>
      <c r="AD11" s="10">
        <v>181923274</v>
      </c>
      <c r="AE11" s="10">
        <v>-3865233</v>
      </c>
      <c r="AF11" s="10">
        <v>3249881</v>
      </c>
      <c r="AG11" s="10">
        <v>6467687</v>
      </c>
      <c r="AH11" s="68">
        <f t="shared" si="0"/>
        <v>639493488.26999998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3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42.28515625" style="47" customWidth="1"/>
    <col min="2" max="97" width="14.28515625" style="47" customWidth="1"/>
    <col min="98" max="16384" width="9.140625" style="47"/>
  </cols>
  <sheetData>
    <row r="1" spans="1:97" ht="18.75" x14ac:dyDescent="0.3">
      <c r="A1" s="46" t="s">
        <v>300</v>
      </c>
    </row>
    <row r="2" spans="1:97" x14ac:dyDescent="0.25">
      <c r="A2" s="48" t="s">
        <v>34</v>
      </c>
    </row>
    <row r="3" spans="1:97" x14ac:dyDescent="0.25">
      <c r="A3" s="124" t="s">
        <v>0</v>
      </c>
      <c r="B3" s="125" t="s">
        <v>1</v>
      </c>
      <c r="C3" s="125"/>
      <c r="D3" s="125"/>
      <c r="E3" s="125" t="s">
        <v>282</v>
      </c>
      <c r="F3" s="125"/>
      <c r="G3" s="125"/>
      <c r="H3" s="125" t="s">
        <v>2</v>
      </c>
      <c r="I3" s="125"/>
      <c r="J3" s="125"/>
      <c r="K3" s="125" t="s">
        <v>3</v>
      </c>
      <c r="L3" s="125"/>
      <c r="M3" s="125"/>
      <c r="N3" s="125" t="s">
        <v>4</v>
      </c>
      <c r="O3" s="125"/>
      <c r="P3" s="125"/>
      <c r="Q3" s="125" t="s">
        <v>283</v>
      </c>
      <c r="R3" s="125"/>
      <c r="S3" s="125"/>
      <c r="T3" s="125" t="s">
        <v>6</v>
      </c>
      <c r="U3" s="125"/>
      <c r="V3" s="125"/>
      <c r="W3" s="125" t="s">
        <v>5</v>
      </c>
      <c r="X3" s="125"/>
      <c r="Y3" s="125"/>
      <c r="Z3" s="125" t="s">
        <v>7</v>
      </c>
      <c r="AA3" s="125"/>
      <c r="AB3" s="125"/>
      <c r="AC3" s="125" t="s">
        <v>284</v>
      </c>
      <c r="AD3" s="125"/>
      <c r="AE3" s="125"/>
      <c r="AF3" s="125" t="s">
        <v>8</v>
      </c>
      <c r="AG3" s="125"/>
      <c r="AH3" s="125"/>
      <c r="AI3" s="125" t="s">
        <v>9</v>
      </c>
      <c r="AJ3" s="125"/>
      <c r="AK3" s="125"/>
      <c r="AL3" s="125" t="s">
        <v>10</v>
      </c>
      <c r="AM3" s="125"/>
      <c r="AN3" s="125"/>
      <c r="AO3" s="125" t="s">
        <v>293</v>
      </c>
      <c r="AP3" s="125"/>
      <c r="AQ3" s="125"/>
      <c r="AR3" s="125" t="s">
        <v>11</v>
      </c>
      <c r="AS3" s="125"/>
      <c r="AT3" s="125"/>
      <c r="AU3" s="125" t="s">
        <v>12</v>
      </c>
      <c r="AV3" s="125"/>
      <c r="AW3" s="125"/>
      <c r="AX3" s="125" t="s">
        <v>285</v>
      </c>
      <c r="AY3" s="125"/>
      <c r="AZ3" s="125"/>
      <c r="BA3" s="125" t="s">
        <v>290</v>
      </c>
      <c r="BB3" s="125"/>
      <c r="BC3" s="125"/>
      <c r="BD3" s="125" t="s">
        <v>13</v>
      </c>
      <c r="BE3" s="125"/>
      <c r="BF3" s="125"/>
      <c r="BG3" s="125" t="s">
        <v>286</v>
      </c>
      <c r="BH3" s="125"/>
      <c r="BI3" s="125"/>
      <c r="BJ3" s="125" t="s">
        <v>287</v>
      </c>
      <c r="BK3" s="125"/>
      <c r="BL3" s="125"/>
      <c r="BM3" s="125" t="s">
        <v>291</v>
      </c>
      <c r="BN3" s="125"/>
      <c r="BO3" s="125"/>
      <c r="BP3" s="125" t="s">
        <v>294</v>
      </c>
      <c r="BQ3" s="125"/>
      <c r="BR3" s="125"/>
      <c r="BS3" s="125" t="s">
        <v>14</v>
      </c>
      <c r="BT3" s="125"/>
      <c r="BU3" s="125"/>
      <c r="BV3" s="125" t="s">
        <v>15</v>
      </c>
      <c r="BW3" s="125"/>
      <c r="BX3" s="125"/>
      <c r="BY3" s="125" t="s">
        <v>16</v>
      </c>
      <c r="BZ3" s="125"/>
      <c r="CA3" s="125"/>
      <c r="CB3" s="125" t="s">
        <v>17</v>
      </c>
      <c r="CC3" s="125"/>
      <c r="CD3" s="125"/>
      <c r="CE3" s="125" t="s">
        <v>18</v>
      </c>
      <c r="CF3" s="125"/>
      <c r="CG3" s="125"/>
      <c r="CH3" s="125" t="s">
        <v>288</v>
      </c>
      <c r="CI3" s="125"/>
      <c r="CJ3" s="125"/>
      <c r="CK3" s="125" t="s">
        <v>289</v>
      </c>
      <c r="CL3" s="125"/>
      <c r="CM3" s="125"/>
      <c r="CN3" s="125" t="s">
        <v>19</v>
      </c>
      <c r="CO3" s="125"/>
      <c r="CP3" s="125"/>
      <c r="CQ3" s="125" t="s">
        <v>20</v>
      </c>
      <c r="CR3" s="125"/>
      <c r="CS3" s="125"/>
    </row>
    <row r="4" spans="1:97" x14ac:dyDescent="0.25">
      <c r="A4" s="124"/>
      <c r="B4" s="90" t="s">
        <v>178</v>
      </c>
      <c r="C4" s="90" t="s">
        <v>179</v>
      </c>
      <c r="D4" s="90" t="s">
        <v>150</v>
      </c>
      <c r="E4" s="90" t="s">
        <v>178</v>
      </c>
      <c r="F4" s="90" t="s">
        <v>179</v>
      </c>
      <c r="G4" s="90" t="s">
        <v>150</v>
      </c>
      <c r="H4" s="90" t="s">
        <v>178</v>
      </c>
      <c r="I4" s="90" t="s">
        <v>179</v>
      </c>
      <c r="J4" s="90" t="s">
        <v>150</v>
      </c>
      <c r="K4" s="90" t="s">
        <v>178</v>
      </c>
      <c r="L4" s="90" t="s">
        <v>179</v>
      </c>
      <c r="M4" s="90" t="s">
        <v>150</v>
      </c>
      <c r="N4" s="90" t="s">
        <v>178</v>
      </c>
      <c r="O4" s="90" t="s">
        <v>179</v>
      </c>
      <c r="P4" s="90" t="s">
        <v>150</v>
      </c>
      <c r="Q4" s="90" t="s">
        <v>178</v>
      </c>
      <c r="R4" s="90" t="s">
        <v>179</v>
      </c>
      <c r="S4" s="90" t="s">
        <v>150</v>
      </c>
      <c r="T4" s="90" t="s">
        <v>178</v>
      </c>
      <c r="U4" s="90" t="s">
        <v>179</v>
      </c>
      <c r="V4" s="90" t="s">
        <v>150</v>
      </c>
      <c r="W4" s="90" t="s">
        <v>178</v>
      </c>
      <c r="X4" s="90" t="s">
        <v>179</v>
      </c>
      <c r="Y4" s="90" t="s">
        <v>150</v>
      </c>
      <c r="Z4" s="90" t="s">
        <v>178</v>
      </c>
      <c r="AA4" s="90" t="s">
        <v>179</v>
      </c>
      <c r="AB4" s="90" t="s">
        <v>150</v>
      </c>
      <c r="AC4" s="90" t="s">
        <v>178</v>
      </c>
      <c r="AD4" s="90" t="s">
        <v>179</v>
      </c>
      <c r="AE4" s="90" t="s">
        <v>150</v>
      </c>
      <c r="AF4" s="90" t="s">
        <v>178</v>
      </c>
      <c r="AG4" s="90" t="s">
        <v>179</v>
      </c>
      <c r="AH4" s="90" t="s">
        <v>150</v>
      </c>
      <c r="AI4" s="90" t="s">
        <v>178</v>
      </c>
      <c r="AJ4" s="90" t="s">
        <v>179</v>
      </c>
      <c r="AK4" s="90" t="s">
        <v>150</v>
      </c>
      <c r="AL4" s="90" t="s">
        <v>178</v>
      </c>
      <c r="AM4" s="90" t="s">
        <v>179</v>
      </c>
      <c r="AN4" s="90" t="s">
        <v>150</v>
      </c>
      <c r="AO4" s="90" t="s">
        <v>178</v>
      </c>
      <c r="AP4" s="90" t="s">
        <v>179</v>
      </c>
      <c r="AQ4" s="90" t="s">
        <v>150</v>
      </c>
      <c r="AR4" s="90" t="s">
        <v>178</v>
      </c>
      <c r="AS4" s="90" t="s">
        <v>179</v>
      </c>
      <c r="AT4" s="90" t="s">
        <v>150</v>
      </c>
      <c r="AU4" s="90" t="s">
        <v>178</v>
      </c>
      <c r="AV4" s="90" t="s">
        <v>179</v>
      </c>
      <c r="AW4" s="90" t="s">
        <v>150</v>
      </c>
      <c r="AX4" s="90" t="s">
        <v>178</v>
      </c>
      <c r="AY4" s="90" t="s">
        <v>179</v>
      </c>
      <c r="AZ4" s="90" t="s">
        <v>150</v>
      </c>
      <c r="BA4" s="90" t="s">
        <v>178</v>
      </c>
      <c r="BB4" s="90" t="s">
        <v>179</v>
      </c>
      <c r="BC4" s="90" t="s">
        <v>150</v>
      </c>
      <c r="BD4" s="90" t="s">
        <v>178</v>
      </c>
      <c r="BE4" s="90" t="s">
        <v>179</v>
      </c>
      <c r="BF4" s="90" t="s">
        <v>150</v>
      </c>
      <c r="BG4" s="90" t="s">
        <v>178</v>
      </c>
      <c r="BH4" s="90" t="s">
        <v>179</v>
      </c>
      <c r="BI4" s="90" t="s">
        <v>150</v>
      </c>
      <c r="BJ4" s="90" t="s">
        <v>178</v>
      </c>
      <c r="BK4" s="90" t="s">
        <v>179</v>
      </c>
      <c r="BL4" s="90" t="s">
        <v>150</v>
      </c>
      <c r="BM4" s="90" t="s">
        <v>178</v>
      </c>
      <c r="BN4" s="90" t="s">
        <v>179</v>
      </c>
      <c r="BO4" s="90" t="s">
        <v>150</v>
      </c>
      <c r="BP4" s="90" t="s">
        <v>178</v>
      </c>
      <c r="BQ4" s="90" t="s">
        <v>179</v>
      </c>
      <c r="BR4" s="90" t="s">
        <v>150</v>
      </c>
      <c r="BS4" s="90" t="s">
        <v>178</v>
      </c>
      <c r="BT4" s="90" t="s">
        <v>179</v>
      </c>
      <c r="BU4" s="90" t="s">
        <v>150</v>
      </c>
      <c r="BV4" s="90" t="s">
        <v>178</v>
      </c>
      <c r="BW4" s="90" t="s">
        <v>179</v>
      </c>
      <c r="BX4" s="90" t="s">
        <v>150</v>
      </c>
      <c r="BY4" s="90" t="s">
        <v>178</v>
      </c>
      <c r="BZ4" s="90" t="s">
        <v>179</v>
      </c>
      <c r="CA4" s="90" t="s">
        <v>150</v>
      </c>
      <c r="CB4" s="90" t="s">
        <v>178</v>
      </c>
      <c r="CC4" s="90" t="s">
        <v>179</v>
      </c>
      <c r="CD4" s="90" t="s">
        <v>150</v>
      </c>
      <c r="CE4" s="90" t="s">
        <v>178</v>
      </c>
      <c r="CF4" s="90" t="s">
        <v>179</v>
      </c>
      <c r="CG4" s="90" t="s">
        <v>150</v>
      </c>
      <c r="CH4" s="90" t="s">
        <v>178</v>
      </c>
      <c r="CI4" s="90" t="s">
        <v>179</v>
      </c>
      <c r="CJ4" s="90" t="s">
        <v>150</v>
      </c>
      <c r="CK4" s="90" t="s">
        <v>178</v>
      </c>
      <c r="CL4" s="90" t="s">
        <v>179</v>
      </c>
      <c r="CM4" s="90" t="s">
        <v>150</v>
      </c>
      <c r="CN4" s="90" t="s">
        <v>178</v>
      </c>
      <c r="CO4" s="90" t="s">
        <v>179</v>
      </c>
      <c r="CP4" s="90" t="s">
        <v>150</v>
      </c>
      <c r="CQ4" s="90" t="s">
        <v>178</v>
      </c>
      <c r="CR4" s="90" t="s">
        <v>179</v>
      </c>
      <c r="CS4" s="90" t="s">
        <v>150</v>
      </c>
    </row>
    <row r="5" spans="1:97" x14ac:dyDescent="0.25">
      <c r="A5" s="49" t="s">
        <v>180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</row>
    <row r="6" spans="1:97" ht="30" x14ac:dyDescent="0.25">
      <c r="A6" s="51" t="s">
        <v>181</v>
      </c>
      <c r="B6" s="50">
        <v>364021</v>
      </c>
      <c r="C6" s="50">
        <v>1460575</v>
      </c>
      <c r="D6" s="50">
        <f t="shared" ref="D6:D19" si="0">B6+C6</f>
        <v>1824596</v>
      </c>
      <c r="E6" s="50">
        <v>917198</v>
      </c>
      <c r="F6" s="50">
        <v>3245254</v>
      </c>
      <c r="G6" s="50">
        <f>F6+E6</f>
        <v>4162452</v>
      </c>
      <c r="H6" s="50"/>
      <c r="I6" s="50"/>
      <c r="J6" s="50">
        <v>25071765</v>
      </c>
      <c r="K6" s="50">
        <v>32024031</v>
      </c>
      <c r="L6" s="50">
        <v>69007290</v>
      </c>
      <c r="M6" s="50">
        <f>L6+K6</f>
        <v>101031321</v>
      </c>
      <c r="N6" s="50"/>
      <c r="O6" s="50">
        <v>12708760</v>
      </c>
      <c r="P6" s="50">
        <f>O6+N6</f>
        <v>12708760</v>
      </c>
      <c r="Q6" s="50">
        <v>8046233</v>
      </c>
      <c r="R6" s="50">
        <v>68580810</v>
      </c>
      <c r="S6" s="50">
        <f>R6+Q6</f>
        <v>76627043</v>
      </c>
      <c r="T6" s="50">
        <v>18508362.329999998</v>
      </c>
      <c r="U6" s="50">
        <v>24534340.760000002</v>
      </c>
      <c r="V6" s="50">
        <f>U6+T6</f>
        <v>43042703.090000004</v>
      </c>
      <c r="W6" s="50"/>
      <c r="X6" s="50">
        <v>706792</v>
      </c>
      <c r="Y6" s="50">
        <f>X6+W6</f>
        <v>706792</v>
      </c>
      <c r="Z6" s="50">
        <v>4873275</v>
      </c>
      <c r="AA6" s="50">
        <v>19916522</v>
      </c>
      <c r="AB6" s="50">
        <f>AA6+Z6</f>
        <v>24789797</v>
      </c>
      <c r="AC6" s="50">
        <v>4838221</v>
      </c>
      <c r="AD6" s="50">
        <v>23758609</v>
      </c>
      <c r="AE6" s="50">
        <f>AD6+AC6</f>
        <v>28596830</v>
      </c>
      <c r="AF6" s="50">
        <v>7904031</v>
      </c>
      <c r="AG6" s="50">
        <v>36644428</v>
      </c>
      <c r="AH6" s="50">
        <f>AG6+AF6</f>
        <v>44548459</v>
      </c>
      <c r="AI6" s="50">
        <v>27579250</v>
      </c>
      <c r="AJ6" s="50">
        <v>87529865</v>
      </c>
      <c r="AK6" s="50">
        <f>AJ6+AI6</f>
        <v>115109115</v>
      </c>
      <c r="AL6" s="50">
        <v>9412321</v>
      </c>
      <c r="AM6" s="50">
        <v>36631286</v>
      </c>
      <c r="AN6" s="50">
        <f>AM6+AL6</f>
        <v>46043607</v>
      </c>
      <c r="AO6" s="50">
        <v>1313352</v>
      </c>
      <c r="AP6" s="50">
        <v>5071506</v>
      </c>
      <c r="AQ6" s="50">
        <f>AP6+AO6</f>
        <v>6384858</v>
      </c>
      <c r="AR6" s="50">
        <v>1741654</v>
      </c>
      <c r="AS6" s="50">
        <v>4933895</v>
      </c>
      <c r="AT6" s="50">
        <f>AR6+AS6</f>
        <v>6675549</v>
      </c>
      <c r="AU6" s="50">
        <v>1306599</v>
      </c>
      <c r="AV6" s="50">
        <v>9680810</v>
      </c>
      <c r="AW6" s="50">
        <f>AV6+AU6</f>
        <v>10987409</v>
      </c>
      <c r="AX6" s="50">
        <v>535182</v>
      </c>
      <c r="AY6" s="50">
        <v>846576</v>
      </c>
      <c r="AZ6" s="50">
        <f>AY6+AX6</f>
        <v>1381758</v>
      </c>
      <c r="BA6" s="50">
        <v>1517601</v>
      </c>
      <c r="BB6" s="50">
        <v>1923065</v>
      </c>
      <c r="BC6" s="50">
        <f>BB6+BA6</f>
        <v>3440666</v>
      </c>
      <c r="BD6" s="50">
        <v>2296419</v>
      </c>
      <c r="BE6" s="50">
        <v>98596358</v>
      </c>
      <c r="BF6" s="50">
        <f>BE6+BD6</f>
        <v>100892777</v>
      </c>
      <c r="BG6" s="50">
        <v>108050</v>
      </c>
      <c r="BH6" s="50">
        <v>953037</v>
      </c>
      <c r="BI6" s="50">
        <f>BH6+BG6</f>
        <v>1061087</v>
      </c>
      <c r="BJ6" s="50">
        <v>833130</v>
      </c>
      <c r="BK6" s="50">
        <v>1770993</v>
      </c>
      <c r="BL6" s="50">
        <f>BK6+BJ6</f>
        <v>2604123</v>
      </c>
      <c r="BM6" s="50">
        <v>5460154</v>
      </c>
      <c r="BN6" s="50">
        <v>26489802</v>
      </c>
      <c r="BO6" s="50">
        <f t="shared" ref="BO6:BO19" si="1">BN6+BM6</f>
        <v>31949956</v>
      </c>
      <c r="BP6" s="50">
        <v>2373822</v>
      </c>
      <c r="BQ6" s="50">
        <v>4536107</v>
      </c>
      <c r="BR6" s="50">
        <f>BQ6+BP6</f>
        <v>6909929</v>
      </c>
      <c r="BS6" s="50">
        <v>4279274</v>
      </c>
      <c r="BT6" s="50">
        <v>23292414</v>
      </c>
      <c r="BU6" s="50">
        <f>BT6+BS6</f>
        <v>27571688</v>
      </c>
      <c r="BV6" s="50">
        <v>7180258</v>
      </c>
      <c r="BW6" s="50">
        <v>18955732</v>
      </c>
      <c r="BX6" s="50">
        <f>BW6+BV6</f>
        <v>26135990</v>
      </c>
      <c r="BY6" s="50">
        <v>7679763</v>
      </c>
      <c r="BZ6" s="50">
        <v>28246170</v>
      </c>
      <c r="CA6" s="50">
        <f t="shared" ref="CA6:CA19" si="2">BZ6+BY6</f>
        <v>35925933</v>
      </c>
      <c r="CB6" s="50">
        <v>11377395</v>
      </c>
      <c r="CC6" s="50">
        <v>16461021</v>
      </c>
      <c r="CD6" s="50">
        <f>CC6+CB6</f>
        <v>27838416</v>
      </c>
      <c r="CE6" s="50">
        <v>11892475</v>
      </c>
      <c r="CF6" s="50">
        <v>47342502</v>
      </c>
      <c r="CG6" s="50">
        <f>CF6+CE6</f>
        <v>59234977</v>
      </c>
      <c r="CH6" s="50">
        <v>89742704</v>
      </c>
      <c r="CI6" s="50">
        <v>183568487</v>
      </c>
      <c r="CJ6" s="50">
        <f>CI6+CH6</f>
        <v>273311191</v>
      </c>
      <c r="CK6" s="50">
        <v>2962387</v>
      </c>
      <c r="CL6" s="50">
        <v>107574423</v>
      </c>
      <c r="CM6" s="50">
        <f t="shared" ref="CM6:CM19" si="3">CL6+CK6</f>
        <v>110536810</v>
      </c>
      <c r="CN6" s="50"/>
      <c r="CO6" s="50"/>
      <c r="CP6" s="50">
        <v>146303069</v>
      </c>
      <c r="CQ6" s="50">
        <v>670181</v>
      </c>
      <c r="CR6" s="50">
        <v>10515061</v>
      </c>
      <c r="CS6" s="50">
        <f t="shared" ref="CS6:CS19" si="4">CR6+CQ6</f>
        <v>11185242</v>
      </c>
    </row>
    <row r="7" spans="1:97" ht="15" customHeight="1" x14ac:dyDescent="0.25">
      <c r="A7" s="51" t="s">
        <v>182</v>
      </c>
      <c r="B7" s="50"/>
      <c r="C7" s="50"/>
      <c r="D7" s="50">
        <f t="shared" si="0"/>
        <v>0</v>
      </c>
      <c r="E7" s="50">
        <v>1466515</v>
      </c>
      <c r="F7" s="50">
        <v>2615214</v>
      </c>
      <c r="G7" s="50">
        <f t="shared" ref="G7:G19" si="5">F7+E7</f>
        <v>4081729</v>
      </c>
      <c r="H7" s="50"/>
      <c r="I7" s="50"/>
      <c r="J7" s="50">
        <v>46112244</v>
      </c>
      <c r="K7" s="50">
        <v>81394</v>
      </c>
      <c r="L7" s="50">
        <v>49377</v>
      </c>
      <c r="M7" s="50">
        <f t="shared" ref="M7:M19" si="6">L7+K7</f>
        <v>130771</v>
      </c>
      <c r="N7" s="50"/>
      <c r="O7" s="50">
        <v>3966329</v>
      </c>
      <c r="P7" s="50">
        <f t="shared" ref="P7:P19" si="7">O7+N7</f>
        <v>3966329</v>
      </c>
      <c r="Q7" s="50"/>
      <c r="R7" s="50"/>
      <c r="S7" s="50">
        <f t="shared" ref="S7:S19" si="8">R7+Q7</f>
        <v>0</v>
      </c>
      <c r="T7" s="50">
        <v>1826504.89</v>
      </c>
      <c r="U7" s="50">
        <v>2421180.9</v>
      </c>
      <c r="V7" s="50">
        <f t="shared" ref="V7:V19" si="9">U7+T7</f>
        <v>4247685.79</v>
      </c>
      <c r="W7" s="50">
        <v>216727</v>
      </c>
      <c r="X7" s="50">
        <v>219392</v>
      </c>
      <c r="Y7" s="50">
        <f t="shared" ref="Y7:Y19" si="10">X7+W7</f>
        <v>436119</v>
      </c>
      <c r="Z7" s="50"/>
      <c r="AA7" s="50"/>
      <c r="AB7" s="50">
        <f t="shared" ref="AB7:AB19" si="11">AA7+Z7</f>
        <v>0</v>
      </c>
      <c r="AC7" s="50"/>
      <c r="AD7" s="50">
        <v>1260695</v>
      </c>
      <c r="AE7" s="50">
        <f t="shared" ref="AE7:AE19" si="12">AD7+AC7</f>
        <v>1260695</v>
      </c>
      <c r="AF7" s="50">
        <v>3184193</v>
      </c>
      <c r="AG7" s="50">
        <v>14762466</v>
      </c>
      <c r="AH7" s="50">
        <f t="shared" ref="AH7:AH19" si="13">AG7+AF7</f>
        <v>17946659</v>
      </c>
      <c r="AI7" s="50"/>
      <c r="AJ7" s="50"/>
      <c r="AK7" s="50">
        <f t="shared" ref="AK7:AK19" si="14">AJ7+AI7</f>
        <v>0</v>
      </c>
      <c r="AL7" s="50">
        <v>655745</v>
      </c>
      <c r="AM7" s="50">
        <v>2552055</v>
      </c>
      <c r="AN7" s="50">
        <f t="shared" ref="AN7:AN19" si="15">AM7+AL7</f>
        <v>3207800</v>
      </c>
      <c r="AO7" s="50"/>
      <c r="AP7" s="50"/>
      <c r="AQ7" s="50">
        <f t="shared" ref="AQ7:AQ19" si="16">AP7+AO7</f>
        <v>0</v>
      </c>
      <c r="AR7" s="50">
        <v>1266228</v>
      </c>
      <c r="AS7" s="50">
        <v>3587068</v>
      </c>
      <c r="AT7" s="50">
        <f t="shared" ref="AT7:AT18" si="17">AR7+AS7</f>
        <v>4853296</v>
      </c>
      <c r="AU7" s="50">
        <v>349892</v>
      </c>
      <c r="AV7" s="50">
        <v>2592412</v>
      </c>
      <c r="AW7" s="50">
        <f t="shared" ref="AW7:AW19" si="18">AV7+AU7</f>
        <v>2942304</v>
      </c>
      <c r="AX7" s="50">
        <v>518703</v>
      </c>
      <c r="AY7" s="50">
        <v>678809</v>
      </c>
      <c r="AZ7" s="50">
        <f t="shared" ref="AZ7:AZ19" si="19">AY7+AX7</f>
        <v>1197512</v>
      </c>
      <c r="BA7" s="50">
        <v>506009</v>
      </c>
      <c r="BB7" s="50">
        <v>457055</v>
      </c>
      <c r="BC7" s="50">
        <f t="shared" ref="BC7:BC19" si="20">BB7+BA7</f>
        <v>963064</v>
      </c>
      <c r="BD7" s="50">
        <v>6335</v>
      </c>
      <c r="BE7" s="50">
        <v>271990</v>
      </c>
      <c r="BF7" s="50">
        <f t="shared" ref="BF7:BF19" si="21">BE7+BD7</f>
        <v>278325</v>
      </c>
      <c r="BG7" s="50">
        <v>268361</v>
      </c>
      <c r="BH7" s="50">
        <v>1166249</v>
      </c>
      <c r="BI7" s="50">
        <f t="shared" ref="BI7:BI19" si="22">BH7+BG7</f>
        <v>1434610</v>
      </c>
      <c r="BJ7" s="50"/>
      <c r="BK7" s="50"/>
      <c r="BL7" s="50">
        <f t="shared" ref="BL7:BL19" si="23">BK7+BJ7</f>
        <v>0</v>
      </c>
      <c r="BM7" s="50">
        <v>4726715</v>
      </c>
      <c r="BN7" s="50">
        <v>22931544</v>
      </c>
      <c r="BO7" s="50">
        <f t="shared" si="1"/>
        <v>27658259</v>
      </c>
      <c r="BP7" s="50">
        <v>218873</v>
      </c>
      <c r="BQ7" s="50">
        <v>1006956</v>
      </c>
      <c r="BR7" s="50">
        <f t="shared" ref="BR7:BR19" si="24">BQ7+BP7</f>
        <v>1225829</v>
      </c>
      <c r="BS7" s="50"/>
      <c r="BT7" s="50"/>
      <c r="BU7" s="50">
        <f t="shared" ref="BU7:BU19" si="25">BT7+BS7</f>
        <v>0</v>
      </c>
      <c r="BV7" s="50">
        <v>1518886</v>
      </c>
      <c r="BW7" s="50">
        <v>9709594</v>
      </c>
      <c r="BX7" s="50">
        <f t="shared" ref="BX7:BX19" si="26">BW7+BV7</f>
        <v>11228480</v>
      </c>
      <c r="BY7" s="50">
        <v>179100</v>
      </c>
      <c r="BZ7" s="50"/>
      <c r="CA7" s="50">
        <f t="shared" si="2"/>
        <v>179100</v>
      </c>
      <c r="CB7" s="50">
        <v>4701856</v>
      </c>
      <c r="CC7" s="50">
        <v>6802731</v>
      </c>
      <c r="CD7" s="50">
        <f t="shared" ref="CD7:CD19" si="27">CC7+CB7</f>
        <v>11504587</v>
      </c>
      <c r="CE7" s="50"/>
      <c r="CF7" s="50"/>
      <c r="CG7" s="50">
        <f t="shared" ref="CG7:CG19" si="28">CF7+CE7</f>
        <v>0</v>
      </c>
      <c r="CH7" s="50"/>
      <c r="CI7" s="50"/>
      <c r="CJ7" s="50">
        <f t="shared" ref="CJ7:CJ19" si="29">CI7+CH7</f>
        <v>0</v>
      </c>
      <c r="CK7" s="50">
        <v>17670</v>
      </c>
      <c r="CL7" s="50">
        <v>641640</v>
      </c>
      <c r="CM7" s="50">
        <f t="shared" si="3"/>
        <v>659310</v>
      </c>
      <c r="CN7" s="50"/>
      <c r="CO7" s="50"/>
      <c r="CP7" s="50">
        <f t="shared" ref="CP7:CP17" si="30">CO7+CN7</f>
        <v>0</v>
      </c>
      <c r="CQ7" s="50">
        <v>8220</v>
      </c>
      <c r="CR7" s="50">
        <v>128979</v>
      </c>
      <c r="CS7" s="50">
        <f t="shared" si="4"/>
        <v>137199</v>
      </c>
    </row>
    <row r="8" spans="1:97" ht="15" customHeight="1" x14ac:dyDescent="0.25">
      <c r="A8" s="51" t="s">
        <v>183</v>
      </c>
      <c r="B8" s="50"/>
      <c r="C8" s="50"/>
      <c r="D8" s="50">
        <f t="shared" si="0"/>
        <v>0</v>
      </c>
      <c r="E8" s="50"/>
      <c r="F8" s="50"/>
      <c r="G8" s="50">
        <f t="shared" si="5"/>
        <v>0</v>
      </c>
      <c r="H8" s="50"/>
      <c r="I8" s="50"/>
      <c r="J8" s="50">
        <f t="shared" ref="J8:J17" si="31">I8+H8</f>
        <v>0</v>
      </c>
      <c r="K8" s="50"/>
      <c r="L8" s="50"/>
      <c r="M8" s="50">
        <f t="shared" si="6"/>
        <v>0</v>
      </c>
      <c r="N8" s="50"/>
      <c r="O8" s="50"/>
      <c r="P8" s="50">
        <f t="shared" si="7"/>
        <v>0</v>
      </c>
      <c r="Q8" s="50"/>
      <c r="R8" s="50"/>
      <c r="S8" s="50">
        <f t="shared" si="8"/>
        <v>0</v>
      </c>
      <c r="T8" s="50"/>
      <c r="U8" s="50"/>
      <c r="V8" s="50">
        <f t="shared" si="9"/>
        <v>0</v>
      </c>
      <c r="W8" s="50"/>
      <c r="X8" s="50"/>
      <c r="Y8" s="50">
        <f t="shared" si="10"/>
        <v>0</v>
      </c>
      <c r="Z8" s="50"/>
      <c r="AA8" s="50"/>
      <c r="AB8" s="50">
        <f t="shared" si="11"/>
        <v>0</v>
      </c>
      <c r="AC8" s="50"/>
      <c r="AD8" s="50"/>
      <c r="AE8" s="50">
        <f t="shared" si="12"/>
        <v>0</v>
      </c>
      <c r="AF8" s="50"/>
      <c r="AG8" s="50"/>
      <c r="AH8" s="50">
        <f t="shared" si="13"/>
        <v>0</v>
      </c>
      <c r="AI8" s="50"/>
      <c r="AJ8" s="50"/>
      <c r="AK8" s="50">
        <f t="shared" si="14"/>
        <v>0</v>
      </c>
      <c r="AL8" s="50"/>
      <c r="AM8" s="50"/>
      <c r="AN8" s="50">
        <f t="shared" si="15"/>
        <v>0</v>
      </c>
      <c r="AO8" s="50"/>
      <c r="AP8" s="50"/>
      <c r="AQ8" s="50">
        <f t="shared" si="16"/>
        <v>0</v>
      </c>
      <c r="AR8" s="50"/>
      <c r="AS8" s="50"/>
      <c r="AT8" s="50">
        <f t="shared" si="17"/>
        <v>0</v>
      </c>
      <c r="AU8" s="50"/>
      <c r="AV8" s="50"/>
      <c r="AW8" s="50">
        <f t="shared" si="18"/>
        <v>0</v>
      </c>
      <c r="AX8" s="50"/>
      <c r="AY8" s="50"/>
      <c r="AZ8" s="50">
        <f t="shared" si="19"/>
        <v>0</v>
      </c>
      <c r="BA8" s="50"/>
      <c r="BB8" s="50"/>
      <c r="BC8" s="50">
        <f t="shared" si="20"/>
        <v>0</v>
      </c>
      <c r="BD8" s="50"/>
      <c r="BE8" s="50"/>
      <c r="BF8" s="50">
        <f t="shared" si="21"/>
        <v>0</v>
      </c>
      <c r="BG8" s="50"/>
      <c r="BH8" s="50"/>
      <c r="BI8" s="50">
        <f t="shared" si="22"/>
        <v>0</v>
      </c>
      <c r="BJ8" s="50"/>
      <c r="BK8" s="50"/>
      <c r="BL8" s="50">
        <f t="shared" si="23"/>
        <v>0</v>
      </c>
      <c r="BM8" s="50"/>
      <c r="BN8" s="50"/>
      <c r="BO8" s="50">
        <f t="shared" si="1"/>
        <v>0</v>
      </c>
      <c r="BP8" s="50"/>
      <c r="BQ8" s="50"/>
      <c r="BR8" s="50">
        <f t="shared" si="24"/>
        <v>0</v>
      </c>
      <c r="BS8" s="50"/>
      <c r="BT8" s="50"/>
      <c r="BU8" s="50">
        <f t="shared" si="25"/>
        <v>0</v>
      </c>
      <c r="BV8" s="50"/>
      <c r="BW8" s="50"/>
      <c r="BX8" s="50">
        <f t="shared" si="26"/>
        <v>0</v>
      </c>
      <c r="BY8" s="50"/>
      <c r="BZ8" s="50"/>
      <c r="CA8" s="50">
        <f t="shared" si="2"/>
        <v>0</v>
      </c>
      <c r="CB8" s="50"/>
      <c r="CC8" s="50"/>
      <c r="CD8" s="50">
        <f t="shared" si="27"/>
        <v>0</v>
      </c>
      <c r="CE8" s="50"/>
      <c r="CF8" s="50"/>
      <c r="CG8" s="50">
        <f t="shared" si="28"/>
        <v>0</v>
      </c>
      <c r="CH8" s="50"/>
      <c r="CI8" s="50"/>
      <c r="CJ8" s="50">
        <f t="shared" si="29"/>
        <v>0</v>
      </c>
      <c r="CK8" s="50"/>
      <c r="CL8" s="50"/>
      <c r="CM8" s="50">
        <f t="shared" si="3"/>
        <v>0</v>
      </c>
      <c r="CN8" s="50"/>
      <c r="CO8" s="50"/>
      <c r="CP8" s="50">
        <f t="shared" si="30"/>
        <v>0</v>
      </c>
      <c r="CQ8" s="50"/>
      <c r="CR8" s="50"/>
      <c r="CS8" s="50">
        <f t="shared" si="4"/>
        <v>0</v>
      </c>
    </row>
    <row r="9" spans="1:97" ht="15" customHeight="1" x14ac:dyDescent="0.25">
      <c r="A9" s="51" t="s">
        <v>184</v>
      </c>
      <c r="B9" s="50"/>
      <c r="C9" s="50"/>
      <c r="D9" s="50">
        <f t="shared" si="0"/>
        <v>0</v>
      </c>
      <c r="E9" s="50"/>
      <c r="F9" s="50"/>
      <c r="G9" s="50">
        <f t="shared" si="5"/>
        <v>0</v>
      </c>
      <c r="H9" s="50"/>
      <c r="I9" s="50"/>
      <c r="J9" s="50">
        <f t="shared" si="31"/>
        <v>0</v>
      </c>
      <c r="K9" s="50"/>
      <c r="L9" s="50"/>
      <c r="M9" s="50">
        <f t="shared" si="6"/>
        <v>0</v>
      </c>
      <c r="N9" s="50"/>
      <c r="O9" s="50"/>
      <c r="P9" s="50">
        <f t="shared" si="7"/>
        <v>0</v>
      </c>
      <c r="Q9" s="50"/>
      <c r="R9" s="50"/>
      <c r="S9" s="50">
        <f t="shared" si="8"/>
        <v>0</v>
      </c>
      <c r="T9" s="50"/>
      <c r="U9" s="50"/>
      <c r="V9" s="50">
        <f t="shared" si="9"/>
        <v>0</v>
      </c>
      <c r="W9" s="50"/>
      <c r="X9" s="50"/>
      <c r="Y9" s="50">
        <f t="shared" si="10"/>
        <v>0</v>
      </c>
      <c r="Z9" s="50"/>
      <c r="AA9" s="50"/>
      <c r="AB9" s="50">
        <f t="shared" si="11"/>
        <v>0</v>
      </c>
      <c r="AC9" s="50"/>
      <c r="AD9" s="50"/>
      <c r="AE9" s="50">
        <f t="shared" si="12"/>
        <v>0</v>
      </c>
      <c r="AF9" s="50"/>
      <c r="AG9" s="50"/>
      <c r="AH9" s="50">
        <f t="shared" si="13"/>
        <v>0</v>
      </c>
      <c r="AI9" s="50"/>
      <c r="AJ9" s="50"/>
      <c r="AK9" s="50">
        <f t="shared" si="14"/>
        <v>0</v>
      </c>
      <c r="AL9" s="50"/>
      <c r="AM9" s="50"/>
      <c r="AN9" s="50">
        <f t="shared" si="15"/>
        <v>0</v>
      </c>
      <c r="AO9" s="50"/>
      <c r="AP9" s="50"/>
      <c r="AQ9" s="50">
        <f t="shared" si="16"/>
        <v>0</v>
      </c>
      <c r="AR9" s="50"/>
      <c r="AS9" s="50"/>
      <c r="AT9" s="50">
        <f t="shared" si="17"/>
        <v>0</v>
      </c>
      <c r="AU9" s="50"/>
      <c r="AV9" s="50"/>
      <c r="AW9" s="50">
        <f t="shared" si="18"/>
        <v>0</v>
      </c>
      <c r="AX9" s="50"/>
      <c r="AY9" s="50"/>
      <c r="AZ9" s="50">
        <f t="shared" si="19"/>
        <v>0</v>
      </c>
      <c r="BA9" s="50"/>
      <c r="BB9" s="50"/>
      <c r="BC9" s="50">
        <f t="shared" si="20"/>
        <v>0</v>
      </c>
      <c r="BD9" s="50"/>
      <c r="BE9" s="50"/>
      <c r="BF9" s="50">
        <f t="shared" si="21"/>
        <v>0</v>
      </c>
      <c r="BG9" s="50"/>
      <c r="BH9" s="50"/>
      <c r="BI9" s="50">
        <f t="shared" si="22"/>
        <v>0</v>
      </c>
      <c r="BJ9" s="50"/>
      <c r="BK9" s="50"/>
      <c r="BL9" s="50">
        <f t="shared" si="23"/>
        <v>0</v>
      </c>
      <c r="BM9" s="50"/>
      <c r="BN9" s="50"/>
      <c r="BO9" s="50">
        <f t="shared" si="1"/>
        <v>0</v>
      </c>
      <c r="BP9" s="50"/>
      <c r="BQ9" s="50"/>
      <c r="BR9" s="50">
        <f t="shared" si="24"/>
        <v>0</v>
      </c>
      <c r="BS9" s="50"/>
      <c r="BT9" s="50"/>
      <c r="BU9" s="50">
        <f t="shared" si="25"/>
        <v>0</v>
      </c>
      <c r="BV9" s="50"/>
      <c r="BW9" s="50"/>
      <c r="BX9" s="50">
        <f t="shared" si="26"/>
        <v>0</v>
      </c>
      <c r="BY9" s="50"/>
      <c r="BZ9" s="50"/>
      <c r="CA9" s="50">
        <f t="shared" si="2"/>
        <v>0</v>
      </c>
      <c r="CB9" s="50"/>
      <c r="CC9" s="50"/>
      <c r="CD9" s="50">
        <f t="shared" si="27"/>
        <v>0</v>
      </c>
      <c r="CE9" s="50"/>
      <c r="CF9" s="50"/>
      <c r="CG9" s="50">
        <f t="shared" si="28"/>
        <v>0</v>
      </c>
      <c r="CH9" s="50"/>
      <c r="CI9" s="50"/>
      <c r="CJ9" s="50">
        <f t="shared" si="29"/>
        <v>0</v>
      </c>
      <c r="CK9" s="50"/>
      <c r="CL9" s="50"/>
      <c r="CM9" s="50">
        <f t="shared" si="3"/>
        <v>0</v>
      </c>
      <c r="CN9" s="50"/>
      <c r="CO9" s="50"/>
      <c r="CP9" s="50">
        <f t="shared" si="30"/>
        <v>0</v>
      </c>
      <c r="CQ9" s="50"/>
      <c r="CR9" s="50"/>
      <c r="CS9" s="50">
        <f t="shared" si="4"/>
        <v>0</v>
      </c>
    </row>
    <row r="10" spans="1:97" ht="15" customHeight="1" x14ac:dyDescent="0.25">
      <c r="A10" s="51" t="s">
        <v>185</v>
      </c>
      <c r="B10" s="50"/>
      <c r="C10" s="50"/>
      <c r="D10" s="50">
        <f t="shared" si="0"/>
        <v>0</v>
      </c>
      <c r="E10" s="50"/>
      <c r="F10" s="50"/>
      <c r="G10" s="50">
        <f t="shared" si="5"/>
        <v>0</v>
      </c>
      <c r="H10" s="50"/>
      <c r="I10" s="50"/>
      <c r="J10" s="50">
        <v>1689642</v>
      </c>
      <c r="K10" s="50">
        <v>4945066</v>
      </c>
      <c r="L10" s="50">
        <v>11582179</v>
      </c>
      <c r="M10" s="50">
        <f t="shared" si="6"/>
        <v>16527245</v>
      </c>
      <c r="N10" s="50"/>
      <c r="O10" s="50">
        <v>1430821</v>
      </c>
      <c r="P10" s="50">
        <f t="shared" si="7"/>
        <v>1430821</v>
      </c>
      <c r="Q10" s="50">
        <v>103328</v>
      </c>
      <c r="R10" s="50">
        <v>880697</v>
      </c>
      <c r="S10" s="50">
        <f t="shared" si="8"/>
        <v>984025</v>
      </c>
      <c r="T10" s="50">
        <v>7460631.5999999996</v>
      </c>
      <c r="U10" s="50">
        <v>9889674.4499999993</v>
      </c>
      <c r="V10" s="50">
        <f t="shared" si="9"/>
        <v>17350306.049999997</v>
      </c>
      <c r="W10" s="50"/>
      <c r="X10" s="50"/>
      <c r="Y10" s="50">
        <f t="shared" si="10"/>
        <v>0</v>
      </c>
      <c r="Z10" s="50">
        <v>215</v>
      </c>
      <c r="AA10" s="50">
        <v>878</v>
      </c>
      <c r="AB10" s="50">
        <f t="shared" si="11"/>
        <v>1093</v>
      </c>
      <c r="AC10" s="50">
        <v>1882457</v>
      </c>
      <c r="AD10" s="50">
        <v>1382692</v>
      </c>
      <c r="AE10" s="50">
        <f t="shared" si="12"/>
        <v>3265149</v>
      </c>
      <c r="AF10" s="50">
        <v>636696</v>
      </c>
      <c r="AG10" s="50">
        <v>2951831</v>
      </c>
      <c r="AH10" s="50">
        <f t="shared" si="13"/>
        <v>3588527</v>
      </c>
      <c r="AI10" s="50">
        <v>8831195</v>
      </c>
      <c r="AJ10" s="50">
        <v>28028074</v>
      </c>
      <c r="AK10" s="50">
        <f t="shared" si="14"/>
        <v>36859269</v>
      </c>
      <c r="AL10" s="50">
        <v>5372</v>
      </c>
      <c r="AM10" s="50">
        <v>20906</v>
      </c>
      <c r="AN10" s="50">
        <f t="shared" si="15"/>
        <v>26278</v>
      </c>
      <c r="AO10" s="50"/>
      <c r="AP10" s="50"/>
      <c r="AQ10" s="50">
        <f t="shared" si="16"/>
        <v>0</v>
      </c>
      <c r="AR10" s="50"/>
      <c r="AS10" s="50"/>
      <c r="AT10" s="50">
        <f t="shared" si="17"/>
        <v>0</v>
      </c>
      <c r="AU10" s="50"/>
      <c r="AV10" s="50"/>
      <c r="AW10" s="50">
        <f t="shared" si="18"/>
        <v>0</v>
      </c>
      <c r="AX10" s="50"/>
      <c r="AY10" s="50"/>
      <c r="AZ10" s="50">
        <f t="shared" si="19"/>
        <v>0</v>
      </c>
      <c r="BA10" s="50"/>
      <c r="BB10" s="50"/>
      <c r="BC10" s="50">
        <f t="shared" si="20"/>
        <v>0</v>
      </c>
      <c r="BD10" s="50">
        <v>2335373</v>
      </c>
      <c r="BE10" s="50">
        <v>100268835</v>
      </c>
      <c r="BF10" s="50">
        <f t="shared" si="21"/>
        <v>102604208</v>
      </c>
      <c r="BG10" s="50"/>
      <c r="BH10" s="50"/>
      <c r="BI10" s="50">
        <f t="shared" si="22"/>
        <v>0</v>
      </c>
      <c r="BJ10" s="50"/>
      <c r="BK10" s="50"/>
      <c r="BL10" s="50">
        <f t="shared" si="23"/>
        <v>0</v>
      </c>
      <c r="BM10" s="50"/>
      <c r="BN10" s="50"/>
      <c r="BO10" s="50">
        <f t="shared" si="1"/>
        <v>0</v>
      </c>
      <c r="BP10" s="50">
        <v>15415</v>
      </c>
      <c r="BQ10" s="50"/>
      <c r="BR10" s="50">
        <f t="shared" si="24"/>
        <v>15415</v>
      </c>
      <c r="BS10" s="50"/>
      <c r="BT10" s="50"/>
      <c r="BU10" s="50">
        <f t="shared" si="25"/>
        <v>0</v>
      </c>
      <c r="BV10" s="50">
        <v>5904582</v>
      </c>
      <c r="BW10" s="50"/>
      <c r="BX10" s="50">
        <f t="shared" si="26"/>
        <v>5904582</v>
      </c>
      <c r="BY10" s="50">
        <v>1179829</v>
      </c>
      <c r="BZ10" s="50"/>
      <c r="CA10" s="50">
        <f t="shared" si="2"/>
        <v>1179829</v>
      </c>
      <c r="CB10" s="50"/>
      <c r="CC10" s="50"/>
      <c r="CD10" s="50">
        <f t="shared" si="27"/>
        <v>0</v>
      </c>
      <c r="CE10" s="50">
        <v>2896587</v>
      </c>
      <c r="CF10" s="50">
        <v>11530964</v>
      </c>
      <c r="CG10" s="50">
        <f t="shared" si="28"/>
        <v>14427551</v>
      </c>
      <c r="CH10" s="50">
        <v>72443801</v>
      </c>
      <c r="CI10" s="50">
        <v>161900450</v>
      </c>
      <c r="CJ10" s="50">
        <f t="shared" si="29"/>
        <v>234344251</v>
      </c>
      <c r="CK10" s="50">
        <v>1817989</v>
      </c>
      <c r="CL10" s="50">
        <v>66017435</v>
      </c>
      <c r="CM10" s="50">
        <f t="shared" si="3"/>
        <v>67835424</v>
      </c>
      <c r="CN10" s="50"/>
      <c r="CO10" s="50"/>
      <c r="CP10" s="50">
        <v>77250641</v>
      </c>
      <c r="CQ10" s="50"/>
      <c r="CR10" s="50"/>
      <c r="CS10" s="50">
        <f t="shared" si="4"/>
        <v>0</v>
      </c>
    </row>
    <row r="11" spans="1:97" ht="15" customHeight="1" x14ac:dyDescent="0.25">
      <c r="A11" s="51" t="s">
        <v>186</v>
      </c>
      <c r="B11" s="50"/>
      <c r="C11" s="50"/>
      <c r="D11" s="50">
        <f t="shared" si="0"/>
        <v>0</v>
      </c>
      <c r="E11" s="50"/>
      <c r="F11" s="50"/>
      <c r="G11" s="50">
        <f t="shared" si="5"/>
        <v>0</v>
      </c>
      <c r="H11" s="50"/>
      <c r="I11" s="50"/>
      <c r="J11" s="50">
        <f t="shared" si="31"/>
        <v>0</v>
      </c>
      <c r="K11" s="50"/>
      <c r="L11" s="50">
        <v>330068</v>
      </c>
      <c r="M11" s="50">
        <f t="shared" si="6"/>
        <v>330068</v>
      </c>
      <c r="N11" s="50"/>
      <c r="O11" s="50"/>
      <c r="P11" s="50">
        <f t="shared" si="7"/>
        <v>0</v>
      </c>
      <c r="Q11" s="50"/>
      <c r="R11" s="50"/>
      <c r="S11" s="50">
        <f t="shared" si="8"/>
        <v>0</v>
      </c>
      <c r="T11" s="50"/>
      <c r="U11" s="50"/>
      <c r="V11" s="50">
        <f t="shared" si="9"/>
        <v>0</v>
      </c>
      <c r="W11" s="50"/>
      <c r="X11" s="50"/>
      <c r="Y11" s="50">
        <f t="shared" si="10"/>
        <v>0</v>
      </c>
      <c r="Z11" s="50"/>
      <c r="AA11" s="50"/>
      <c r="AB11" s="50">
        <f t="shared" si="11"/>
        <v>0</v>
      </c>
      <c r="AC11" s="50"/>
      <c r="AD11" s="50"/>
      <c r="AE11" s="50">
        <f t="shared" si="12"/>
        <v>0</v>
      </c>
      <c r="AF11" s="50"/>
      <c r="AG11" s="50"/>
      <c r="AH11" s="50">
        <f t="shared" si="13"/>
        <v>0</v>
      </c>
      <c r="AI11" s="50">
        <v>79065</v>
      </c>
      <c r="AJ11" s="50">
        <v>250935</v>
      </c>
      <c r="AK11" s="50">
        <f t="shared" si="14"/>
        <v>330000</v>
      </c>
      <c r="AL11" s="50"/>
      <c r="AM11" s="50"/>
      <c r="AN11" s="50">
        <f t="shared" si="15"/>
        <v>0</v>
      </c>
      <c r="AO11" s="50"/>
      <c r="AP11" s="50"/>
      <c r="AQ11" s="50">
        <f t="shared" si="16"/>
        <v>0</v>
      </c>
      <c r="AR11" s="50"/>
      <c r="AS11" s="50"/>
      <c r="AT11" s="50">
        <f t="shared" si="17"/>
        <v>0</v>
      </c>
      <c r="AU11" s="50"/>
      <c r="AV11" s="50"/>
      <c r="AW11" s="50">
        <f t="shared" si="18"/>
        <v>0</v>
      </c>
      <c r="AX11" s="50"/>
      <c r="AY11" s="50"/>
      <c r="AZ11" s="50">
        <f t="shared" si="19"/>
        <v>0</v>
      </c>
      <c r="BA11" s="50"/>
      <c r="BB11" s="50"/>
      <c r="BC11" s="50">
        <f t="shared" si="20"/>
        <v>0</v>
      </c>
      <c r="BD11" s="50">
        <v>64</v>
      </c>
      <c r="BE11" s="50">
        <v>2739</v>
      </c>
      <c r="BF11" s="50">
        <f t="shared" si="21"/>
        <v>2803</v>
      </c>
      <c r="BG11" s="50"/>
      <c r="BH11" s="50"/>
      <c r="BI11" s="50">
        <f t="shared" si="22"/>
        <v>0</v>
      </c>
      <c r="BJ11" s="50"/>
      <c r="BK11" s="50"/>
      <c r="BL11" s="50">
        <f t="shared" si="23"/>
        <v>0</v>
      </c>
      <c r="BM11" s="50"/>
      <c r="BN11" s="50"/>
      <c r="BO11" s="50">
        <f t="shared" si="1"/>
        <v>0</v>
      </c>
      <c r="BP11" s="50"/>
      <c r="BQ11" s="50"/>
      <c r="BR11" s="50">
        <f t="shared" si="24"/>
        <v>0</v>
      </c>
      <c r="BS11" s="50"/>
      <c r="BT11" s="50"/>
      <c r="BU11" s="50">
        <f t="shared" si="25"/>
        <v>0</v>
      </c>
      <c r="BV11" s="50"/>
      <c r="BW11" s="50"/>
      <c r="BX11" s="50">
        <f t="shared" si="26"/>
        <v>0</v>
      </c>
      <c r="BY11" s="50"/>
      <c r="BZ11" s="50"/>
      <c r="CA11" s="50">
        <f t="shared" si="2"/>
        <v>0</v>
      </c>
      <c r="CB11" s="50"/>
      <c r="CC11" s="50"/>
      <c r="CD11" s="50">
        <f t="shared" si="27"/>
        <v>0</v>
      </c>
      <c r="CE11" s="50"/>
      <c r="CF11" s="50"/>
      <c r="CG11" s="50">
        <f t="shared" si="28"/>
        <v>0</v>
      </c>
      <c r="CH11" s="50"/>
      <c r="CI11" s="50"/>
      <c r="CJ11" s="50">
        <f t="shared" si="29"/>
        <v>0</v>
      </c>
      <c r="CK11" s="50">
        <v>340</v>
      </c>
      <c r="CL11" s="50">
        <v>12356</v>
      </c>
      <c r="CM11" s="50">
        <f t="shared" si="3"/>
        <v>12696</v>
      </c>
      <c r="CN11" s="50"/>
      <c r="CO11" s="50"/>
      <c r="CP11" s="50">
        <f t="shared" si="30"/>
        <v>0</v>
      </c>
      <c r="CQ11" s="50"/>
      <c r="CR11" s="50"/>
      <c r="CS11" s="50">
        <f t="shared" si="4"/>
        <v>0</v>
      </c>
    </row>
    <row r="12" spans="1:97" ht="15" customHeight="1" x14ac:dyDescent="0.25">
      <c r="A12" s="51" t="s">
        <v>187</v>
      </c>
      <c r="B12" s="50"/>
      <c r="C12" s="50"/>
      <c r="D12" s="50">
        <f t="shared" si="0"/>
        <v>0</v>
      </c>
      <c r="E12" s="50"/>
      <c r="F12" s="50"/>
      <c r="G12" s="50">
        <f t="shared" si="5"/>
        <v>0</v>
      </c>
      <c r="H12" s="50"/>
      <c r="I12" s="50"/>
      <c r="J12" s="50">
        <f t="shared" si="31"/>
        <v>0</v>
      </c>
      <c r="K12" s="50"/>
      <c r="L12" s="50"/>
      <c r="M12" s="50">
        <f t="shared" si="6"/>
        <v>0</v>
      </c>
      <c r="N12" s="50"/>
      <c r="O12" s="50"/>
      <c r="P12" s="50">
        <f t="shared" si="7"/>
        <v>0</v>
      </c>
      <c r="Q12" s="50"/>
      <c r="R12" s="50"/>
      <c r="S12" s="50">
        <f t="shared" si="8"/>
        <v>0</v>
      </c>
      <c r="T12" s="50"/>
      <c r="U12" s="50"/>
      <c r="V12" s="50">
        <f t="shared" si="9"/>
        <v>0</v>
      </c>
      <c r="W12" s="50"/>
      <c r="X12" s="50"/>
      <c r="Y12" s="50">
        <f t="shared" si="10"/>
        <v>0</v>
      </c>
      <c r="Z12" s="50"/>
      <c r="AA12" s="50"/>
      <c r="AB12" s="50">
        <f t="shared" si="11"/>
        <v>0</v>
      </c>
      <c r="AC12" s="50"/>
      <c r="AD12" s="50"/>
      <c r="AE12" s="50">
        <f t="shared" si="12"/>
        <v>0</v>
      </c>
      <c r="AF12" s="50">
        <v>17141</v>
      </c>
      <c r="AG12" s="50">
        <v>79467</v>
      </c>
      <c r="AH12" s="50">
        <f t="shared" si="13"/>
        <v>96608</v>
      </c>
      <c r="AI12" s="50"/>
      <c r="AJ12" s="50"/>
      <c r="AK12" s="50">
        <f t="shared" si="14"/>
        <v>0</v>
      </c>
      <c r="AL12" s="50"/>
      <c r="AM12" s="50"/>
      <c r="AN12" s="50">
        <f t="shared" si="15"/>
        <v>0</v>
      </c>
      <c r="AO12" s="50"/>
      <c r="AP12" s="50"/>
      <c r="AQ12" s="50">
        <f t="shared" si="16"/>
        <v>0</v>
      </c>
      <c r="AR12" s="50"/>
      <c r="AS12" s="50"/>
      <c r="AT12" s="50">
        <f t="shared" si="17"/>
        <v>0</v>
      </c>
      <c r="AU12" s="50"/>
      <c r="AV12" s="50"/>
      <c r="AW12" s="50">
        <f t="shared" si="18"/>
        <v>0</v>
      </c>
      <c r="AX12" s="50"/>
      <c r="AY12" s="50"/>
      <c r="AZ12" s="50">
        <f t="shared" si="19"/>
        <v>0</v>
      </c>
      <c r="BA12" s="50"/>
      <c r="BB12" s="50"/>
      <c r="BC12" s="50">
        <f t="shared" si="20"/>
        <v>0</v>
      </c>
      <c r="BD12" s="50">
        <v>10247</v>
      </c>
      <c r="BE12" s="50">
        <v>439944</v>
      </c>
      <c r="BF12" s="50">
        <f t="shared" si="21"/>
        <v>450191</v>
      </c>
      <c r="BG12" s="50"/>
      <c r="BH12" s="50"/>
      <c r="BI12" s="50">
        <f t="shared" si="22"/>
        <v>0</v>
      </c>
      <c r="BJ12" s="50"/>
      <c r="BK12" s="50"/>
      <c r="BL12" s="50">
        <f t="shared" si="23"/>
        <v>0</v>
      </c>
      <c r="BM12" s="50"/>
      <c r="BN12" s="50"/>
      <c r="BO12" s="50">
        <f t="shared" si="1"/>
        <v>0</v>
      </c>
      <c r="BP12" s="50"/>
      <c r="BQ12" s="50"/>
      <c r="BR12" s="50">
        <f t="shared" si="24"/>
        <v>0</v>
      </c>
      <c r="BS12" s="50"/>
      <c r="BT12" s="50"/>
      <c r="BU12" s="50">
        <f t="shared" si="25"/>
        <v>0</v>
      </c>
      <c r="BV12" s="50"/>
      <c r="BW12" s="50"/>
      <c r="BX12" s="50">
        <f t="shared" si="26"/>
        <v>0</v>
      </c>
      <c r="BY12" s="50"/>
      <c r="BZ12" s="50"/>
      <c r="CA12" s="50">
        <f t="shared" si="2"/>
        <v>0</v>
      </c>
      <c r="CB12" s="50">
        <v>31487</v>
      </c>
      <c r="CC12" s="50">
        <v>45557</v>
      </c>
      <c r="CD12" s="50">
        <f t="shared" si="27"/>
        <v>77044</v>
      </c>
      <c r="CE12" s="50"/>
      <c r="CF12" s="50"/>
      <c r="CG12" s="50">
        <f t="shared" si="28"/>
        <v>0</v>
      </c>
      <c r="CH12" s="50">
        <v>332145</v>
      </c>
      <c r="CI12" s="50">
        <v>743201</v>
      </c>
      <c r="CJ12" s="50">
        <f t="shared" si="29"/>
        <v>1075346</v>
      </c>
      <c r="CK12" s="50">
        <v>19870</v>
      </c>
      <c r="CL12" s="50">
        <v>721553</v>
      </c>
      <c r="CM12" s="50">
        <f t="shared" si="3"/>
        <v>741423</v>
      </c>
      <c r="CN12" s="50"/>
      <c r="CO12" s="50"/>
      <c r="CP12" s="50">
        <f t="shared" si="30"/>
        <v>0</v>
      </c>
      <c r="CQ12" s="50"/>
      <c r="CR12" s="50"/>
      <c r="CS12" s="50">
        <f t="shared" si="4"/>
        <v>0</v>
      </c>
    </row>
    <row r="13" spans="1:97" ht="15" customHeight="1" x14ac:dyDescent="0.25">
      <c r="A13" s="51" t="s">
        <v>188</v>
      </c>
      <c r="B13" s="50">
        <v>24900</v>
      </c>
      <c r="C13" s="50">
        <v>99905</v>
      </c>
      <c r="D13" s="50">
        <f t="shared" si="0"/>
        <v>124805</v>
      </c>
      <c r="E13" s="50"/>
      <c r="F13" s="50">
        <v>857588</v>
      </c>
      <c r="G13" s="50">
        <f t="shared" si="5"/>
        <v>857588</v>
      </c>
      <c r="H13" s="50"/>
      <c r="I13" s="50"/>
      <c r="J13" s="50">
        <v>13654666</v>
      </c>
      <c r="K13" s="50">
        <v>1250925</v>
      </c>
      <c r="L13" s="50">
        <v>28879774</v>
      </c>
      <c r="M13" s="50">
        <f t="shared" si="6"/>
        <v>30130699</v>
      </c>
      <c r="N13" s="50"/>
      <c r="O13" s="50">
        <v>4624670</v>
      </c>
      <c r="P13" s="50">
        <f t="shared" si="7"/>
        <v>4624670</v>
      </c>
      <c r="Q13" s="50">
        <v>914099</v>
      </c>
      <c r="R13" s="50">
        <v>7791182</v>
      </c>
      <c r="S13" s="50">
        <f t="shared" si="8"/>
        <v>8705281</v>
      </c>
      <c r="T13" s="50">
        <v>5614133.7199999997</v>
      </c>
      <c r="U13" s="50">
        <v>7441991.2000000002</v>
      </c>
      <c r="V13" s="50">
        <f t="shared" si="9"/>
        <v>13056124.92</v>
      </c>
      <c r="W13" s="50">
        <v>105073</v>
      </c>
      <c r="X13" s="50">
        <v>103197</v>
      </c>
      <c r="Y13" s="50">
        <f t="shared" si="10"/>
        <v>208270</v>
      </c>
      <c r="Z13" s="50">
        <v>1504474</v>
      </c>
      <c r="AA13" s="50">
        <v>6148614</v>
      </c>
      <c r="AB13" s="50">
        <f t="shared" si="11"/>
        <v>7653088</v>
      </c>
      <c r="AC13" s="50">
        <v>249897</v>
      </c>
      <c r="AD13" s="50">
        <v>3127771</v>
      </c>
      <c r="AE13" s="50">
        <f t="shared" si="12"/>
        <v>3377668</v>
      </c>
      <c r="AF13" s="50">
        <v>4434471</v>
      </c>
      <c r="AG13" s="50">
        <v>20558962</v>
      </c>
      <c r="AH13" s="50">
        <f t="shared" si="13"/>
        <v>24993433</v>
      </c>
      <c r="AI13" s="50">
        <v>10916821</v>
      </c>
      <c r="AJ13" s="50">
        <v>34647347</v>
      </c>
      <c r="AK13" s="50">
        <f t="shared" si="14"/>
        <v>45564168</v>
      </c>
      <c r="AL13" s="50">
        <v>2463129</v>
      </c>
      <c r="AM13" s="50">
        <v>9586115</v>
      </c>
      <c r="AN13" s="50">
        <f t="shared" si="15"/>
        <v>12049244</v>
      </c>
      <c r="AO13" s="50">
        <v>51644</v>
      </c>
      <c r="AP13" s="50">
        <v>199421</v>
      </c>
      <c r="AQ13" s="50">
        <f t="shared" si="16"/>
        <v>251065</v>
      </c>
      <c r="AR13" s="50">
        <v>2627422</v>
      </c>
      <c r="AS13" s="50">
        <v>7443164</v>
      </c>
      <c r="AT13" s="50">
        <f t="shared" si="17"/>
        <v>10070586</v>
      </c>
      <c r="AU13" s="50">
        <v>450942</v>
      </c>
      <c r="AV13" s="50">
        <v>3341109</v>
      </c>
      <c r="AW13" s="50">
        <f t="shared" si="18"/>
        <v>3792051</v>
      </c>
      <c r="AX13" s="50">
        <v>151328</v>
      </c>
      <c r="AY13" s="50">
        <v>1258650</v>
      </c>
      <c r="AZ13" s="50">
        <f t="shared" si="19"/>
        <v>1409978</v>
      </c>
      <c r="BA13" s="50">
        <v>599744</v>
      </c>
      <c r="BB13" s="50">
        <v>3069037</v>
      </c>
      <c r="BC13" s="50">
        <f t="shared" si="20"/>
        <v>3668781</v>
      </c>
      <c r="BD13" s="50">
        <v>668069</v>
      </c>
      <c r="BE13" s="50">
        <v>28683452</v>
      </c>
      <c r="BF13" s="50">
        <f t="shared" si="21"/>
        <v>29351521</v>
      </c>
      <c r="BG13" s="50">
        <v>1401345</v>
      </c>
      <c r="BH13" s="50">
        <v>150438</v>
      </c>
      <c r="BI13" s="50">
        <f t="shared" si="22"/>
        <v>1551783</v>
      </c>
      <c r="BJ13" s="50">
        <v>527896</v>
      </c>
      <c r="BK13" s="50">
        <v>1122154</v>
      </c>
      <c r="BL13" s="50">
        <f t="shared" si="23"/>
        <v>1650050</v>
      </c>
      <c r="BM13" s="50">
        <v>6728046</v>
      </c>
      <c r="BN13" s="50">
        <v>32640952</v>
      </c>
      <c r="BO13" s="50">
        <f t="shared" si="1"/>
        <v>39368998</v>
      </c>
      <c r="BP13" s="50">
        <v>1809695</v>
      </c>
      <c r="BQ13" s="50">
        <v>2597266</v>
      </c>
      <c r="BR13" s="50">
        <f t="shared" si="24"/>
        <v>4406961</v>
      </c>
      <c r="BS13" s="50">
        <v>1764907</v>
      </c>
      <c r="BT13" s="50">
        <v>9606518</v>
      </c>
      <c r="BU13" s="50">
        <f t="shared" si="25"/>
        <v>11371425</v>
      </c>
      <c r="BV13" s="50">
        <v>1809781</v>
      </c>
      <c r="BW13" s="50">
        <v>10552405</v>
      </c>
      <c r="BX13" s="50">
        <f t="shared" si="26"/>
        <v>12362186</v>
      </c>
      <c r="BY13" s="50">
        <v>280275</v>
      </c>
      <c r="BZ13" s="50">
        <v>3170174</v>
      </c>
      <c r="CA13" s="50">
        <f t="shared" si="2"/>
        <v>3450449</v>
      </c>
      <c r="CB13" s="50"/>
      <c r="CC13" s="50"/>
      <c r="CD13" s="50">
        <f t="shared" si="27"/>
        <v>0</v>
      </c>
      <c r="CE13" s="50">
        <v>6537006</v>
      </c>
      <c r="CF13" s="50">
        <v>26023029</v>
      </c>
      <c r="CG13" s="50">
        <f t="shared" si="28"/>
        <v>32560035</v>
      </c>
      <c r="CH13" s="50">
        <v>7099639</v>
      </c>
      <c r="CI13" s="50">
        <v>15627302</v>
      </c>
      <c r="CJ13" s="50">
        <f t="shared" si="29"/>
        <v>22726941</v>
      </c>
      <c r="CK13" s="50">
        <v>211787</v>
      </c>
      <c r="CL13" s="50">
        <v>7690731</v>
      </c>
      <c r="CM13" s="50">
        <f t="shared" si="3"/>
        <v>7902518</v>
      </c>
      <c r="CN13" s="50"/>
      <c r="CO13" s="50"/>
      <c r="CP13" s="50">
        <v>17915254</v>
      </c>
      <c r="CQ13" s="50">
        <v>430768</v>
      </c>
      <c r="CR13" s="50">
        <v>6758701</v>
      </c>
      <c r="CS13" s="50">
        <f t="shared" si="4"/>
        <v>7189469</v>
      </c>
    </row>
    <row r="14" spans="1:97" ht="15" customHeight="1" x14ac:dyDescent="0.25">
      <c r="A14" s="51" t="s">
        <v>189</v>
      </c>
      <c r="B14" s="50"/>
      <c r="C14" s="50"/>
      <c r="D14" s="50">
        <f t="shared" si="0"/>
        <v>0</v>
      </c>
      <c r="E14" s="50"/>
      <c r="F14" s="50"/>
      <c r="G14" s="50">
        <f t="shared" si="5"/>
        <v>0</v>
      </c>
      <c r="H14" s="50"/>
      <c r="I14" s="50"/>
      <c r="J14" s="50">
        <f t="shared" si="31"/>
        <v>0</v>
      </c>
      <c r="K14" s="50">
        <v>102204</v>
      </c>
      <c r="L14" s="50">
        <v>1122072</v>
      </c>
      <c r="M14" s="50">
        <f t="shared" si="6"/>
        <v>1224276</v>
      </c>
      <c r="N14" s="50"/>
      <c r="O14" s="50"/>
      <c r="P14" s="50">
        <f t="shared" si="7"/>
        <v>0</v>
      </c>
      <c r="Q14" s="50">
        <f>12192+22986</f>
        <v>35178</v>
      </c>
      <c r="R14" s="50">
        <f>103916+195914</f>
        <v>299830</v>
      </c>
      <c r="S14" s="50">
        <f t="shared" si="8"/>
        <v>335008</v>
      </c>
      <c r="T14" s="50"/>
      <c r="U14" s="50"/>
      <c r="V14" s="50">
        <f t="shared" si="9"/>
        <v>0</v>
      </c>
      <c r="W14" s="50"/>
      <c r="X14" s="50"/>
      <c r="Y14" s="50">
        <f t="shared" si="10"/>
        <v>0</v>
      </c>
      <c r="Z14" s="50"/>
      <c r="AA14" s="50"/>
      <c r="AB14" s="50">
        <f t="shared" si="11"/>
        <v>0</v>
      </c>
      <c r="AC14" s="50"/>
      <c r="AD14" s="50"/>
      <c r="AE14" s="50">
        <f t="shared" si="12"/>
        <v>0</v>
      </c>
      <c r="AF14" s="50">
        <v>36213</v>
      </c>
      <c r="AG14" s="50">
        <v>167887</v>
      </c>
      <c r="AH14" s="50">
        <f t="shared" si="13"/>
        <v>204100</v>
      </c>
      <c r="AI14" s="50">
        <v>3956854</v>
      </c>
      <c r="AJ14" s="50">
        <v>11836067</v>
      </c>
      <c r="AK14" s="50">
        <f t="shared" si="14"/>
        <v>15792921</v>
      </c>
      <c r="AL14" s="50"/>
      <c r="AM14" s="50"/>
      <c r="AN14" s="50">
        <f t="shared" si="15"/>
        <v>0</v>
      </c>
      <c r="AO14" s="50"/>
      <c r="AP14" s="50"/>
      <c r="AQ14" s="50">
        <f>AP14+AO14</f>
        <v>0</v>
      </c>
      <c r="AR14" s="50"/>
      <c r="AS14" s="50"/>
      <c r="AT14" s="50">
        <f t="shared" si="17"/>
        <v>0</v>
      </c>
      <c r="AU14" s="50">
        <v>65405</v>
      </c>
      <c r="AV14" s="50">
        <v>484595</v>
      </c>
      <c r="AW14" s="50">
        <f t="shared" si="18"/>
        <v>550000</v>
      </c>
      <c r="AX14" s="50"/>
      <c r="AY14" s="50"/>
      <c r="AZ14" s="50">
        <f t="shared" si="19"/>
        <v>0</v>
      </c>
      <c r="BA14" s="50"/>
      <c r="BB14" s="50"/>
      <c r="BC14" s="50">
        <f t="shared" si="20"/>
        <v>0</v>
      </c>
      <c r="BD14" s="50">
        <v>907</v>
      </c>
      <c r="BE14" s="50">
        <v>38963</v>
      </c>
      <c r="BF14" s="50">
        <f t="shared" si="21"/>
        <v>39870</v>
      </c>
      <c r="BG14" s="50"/>
      <c r="BH14" s="50">
        <v>50000</v>
      </c>
      <c r="BI14" s="50">
        <f t="shared" si="22"/>
        <v>50000</v>
      </c>
      <c r="BJ14" s="50">
        <v>10714</v>
      </c>
      <c r="BK14" s="50">
        <v>2086</v>
      </c>
      <c r="BL14" s="50">
        <f t="shared" si="23"/>
        <v>12800</v>
      </c>
      <c r="BM14" s="50">
        <v>85449</v>
      </c>
      <c r="BN14" s="50">
        <v>414551</v>
      </c>
      <c r="BO14" s="50">
        <f t="shared" si="1"/>
        <v>500000</v>
      </c>
      <c r="BP14" s="50"/>
      <c r="BQ14" s="50"/>
      <c r="BR14" s="50">
        <f t="shared" si="24"/>
        <v>0</v>
      </c>
      <c r="BS14" s="50"/>
      <c r="BT14" s="50"/>
      <c r="BU14" s="50">
        <f t="shared" si="25"/>
        <v>0</v>
      </c>
      <c r="BV14" s="50">
        <f>117085+19900</f>
        <v>136985</v>
      </c>
      <c r="BW14" s="50"/>
      <c r="BX14" s="50">
        <f t="shared" si="26"/>
        <v>136985</v>
      </c>
      <c r="BY14" s="50"/>
      <c r="BZ14" s="50"/>
      <c r="CA14" s="50">
        <f t="shared" si="2"/>
        <v>0</v>
      </c>
      <c r="CB14" s="50"/>
      <c r="CC14" s="50"/>
      <c r="CD14" s="50">
        <f t="shared" si="27"/>
        <v>0</v>
      </c>
      <c r="CE14" s="50"/>
      <c r="CF14" s="50"/>
      <c r="CG14" s="50">
        <f t="shared" si="28"/>
        <v>0</v>
      </c>
      <c r="CH14" s="50"/>
      <c r="CI14" s="50"/>
      <c r="CJ14" s="50">
        <f t="shared" si="29"/>
        <v>0</v>
      </c>
      <c r="CK14" s="50">
        <f>6414+9444</f>
        <v>15858</v>
      </c>
      <c r="CL14" s="50">
        <f>232899+342930</f>
        <v>575829</v>
      </c>
      <c r="CM14" s="50">
        <f t="shared" si="3"/>
        <v>591687</v>
      </c>
      <c r="CN14" s="50"/>
      <c r="CO14" s="50"/>
      <c r="CP14" s="50">
        <f t="shared" si="30"/>
        <v>0</v>
      </c>
      <c r="CQ14" s="50"/>
      <c r="CR14" s="50"/>
      <c r="CS14" s="50">
        <f t="shared" si="4"/>
        <v>0</v>
      </c>
    </row>
    <row r="15" spans="1:97" ht="15" customHeight="1" x14ac:dyDescent="0.25">
      <c r="A15" s="51" t="s">
        <v>190</v>
      </c>
      <c r="B15" s="50"/>
      <c r="C15" s="50"/>
      <c r="D15" s="50">
        <f t="shared" si="0"/>
        <v>0</v>
      </c>
      <c r="E15" s="50"/>
      <c r="F15" s="50"/>
      <c r="G15" s="50">
        <f t="shared" si="5"/>
        <v>0</v>
      </c>
      <c r="H15" s="50"/>
      <c r="I15" s="50"/>
      <c r="J15" s="50">
        <f t="shared" si="31"/>
        <v>0</v>
      </c>
      <c r="K15" s="50"/>
      <c r="L15" s="50"/>
      <c r="M15" s="50">
        <f t="shared" si="6"/>
        <v>0</v>
      </c>
      <c r="N15" s="50"/>
      <c r="O15" s="50"/>
      <c r="P15" s="50">
        <f t="shared" si="7"/>
        <v>0</v>
      </c>
      <c r="Q15" s="50"/>
      <c r="R15" s="50"/>
      <c r="S15" s="50">
        <f t="shared" si="8"/>
        <v>0</v>
      </c>
      <c r="T15" s="50"/>
      <c r="U15" s="50"/>
      <c r="V15" s="50">
        <f t="shared" si="9"/>
        <v>0</v>
      </c>
      <c r="W15" s="50"/>
      <c r="X15" s="50"/>
      <c r="Y15" s="50">
        <f t="shared" si="10"/>
        <v>0</v>
      </c>
      <c r="Z15" s="50"/>
      <c r="AA15" s="50"/>
      <c r="AB15" s="50">
        <f t="shared" si="11"/>
        <v>0</v>
      </c>
      <c r="AC15" s="50"/>
      <c r="AD15" s="50"/>
      <c r="AE15" s="50">
        <f t="shared" si="12"/>
        <v>0</v>
      </c>
      <c r="AF15" s="50"/>
      <c r="AG15" s="50"/>
      <c r="AH15" s="50">
        <f t="shared" si="13"/>
        <v>0</v>
      </c>
      <c r="AI15" s="50"/>
      <c r="AJ15" s="50"/>
      <c r="AK15" s="50">
        <f t="shared" si="14"/>
        <v>0</v>
      </c>
      <c r="AL15" s="50">
        <v>585802</v>
      </c>
      <c r="AM15" s="50">
        <v>2279849</v>
      </c>
      <c r="AN15" s="50">
        <f t="shared" si="15"/>
        <v>2865651</v>
      </c>
      <c r="AO15" s="50"/>
      <c r="AP15" s="50"/>
      <c r="AQ15" s="50">
        <f t="shared" si="16"/>
        <v>0</v>
      </c>
      <c r="AR15" s="50"/>
      <c r="AS15" s="50"/>
      <c r="AT15" s="50">
        <f t="shared" si="17"/>
        <v>0</v>
      </c>
      <c r="AU15" s="50"/>
      <c r="AV15" s="50"/>
      <c r="AW15" s="50">
        <f t="shared" si="18"/>
        <v>0</v>
      </c>
      <c r="AX15" s="50"/>
      <c r="AY15" s="50"/>
      <c r="AZ15" s="50">
        <f t="shared" si="19"/>
        <v>0</v>
      </c>
      <c r="BA15" s="50"/>
      <c r="BB15" s="50"/>
      <c r="BC15" s="50">
        <f t="shared" si="20"/>
        <v>0</v>
      </c>
      <c r="BD15" s="50"/>
      <c r="BE15" s="50"/>
      <c r="BF15" s="50">
        <f t="shared" si="21"/>
        <v>0</v>
      </c>
      <c r="BG15" s="50"/>
      <c r="BH15" s="50"/>
      <c r="BI15" s="50">
        <f t="shared" si="22"/>
        <v>0</v>
      </c>
      <c r="BJ15" s="50"/>
      <c r="BK15" s="50"/>
      <c r="BL15" s="50">
        <f t="shared" si="23"/>
        <v>0</v>
      </c>
      <c r="BM15" s="50"/>
      <c r="BN15" s="50"/>
      <c r="BO15" s="50">
        <f t="shared" si="1"/>
        <v>0</v>
      </c>
      <c r="BP15" s="50"/>
      <c r="BQ15" s="50"/>
      <c r="BR15" s="50">
        <f t="shared" si="24"/>
        <v>0</v>
      </c>
      <c r="BS15" s="50"/>
      <c r="BT15" s="50"/>
      <c r="BU15" s="50">
        <f t="shared" si="25"/>
        <v>0</v>
      </c>
      <c r="BV15" s="50"/>
      <c r="BW15" s="50"/>
      <c r="BX15" s="50">
        <f t="shared" si="26"/>
        <v>0</v>
      </c>
      <c r="BY15" s="50"/>
      <c r="BZ15" s="50"/>
      <c r="CA15" s="50">
        <f t="shared" si="2"/>
        <v>0</v>
      </c>
      <c r="CB15" s="50"/>
      <c r="CC15" s="50"/>
      <c r="CD15" s="50">
        <f t="shared" si="27"/>
        <v>0</v>
      </c>
      <c r="CE15" s="50"/>
      <c r="CF15" s="50"/>
      <c r="CG15" s="50">
        <f t="shared" si="28"/>
        <v>0</v>
      </c>
      <c r="CH15" s="50"/>
      <c r="CI15" s="50"/>
      <c r="CJ15" s="50">
        <f t="shared" si="29"/>
        <v>0</v>
      </c>
      <c r="CK15" s="50"/>
      <c r="CL15" s="50"/>
      <c r="CM15" s="50">
        <f t="shared" si="3"/>
        <v>0</v>
      </c>
      <c r="CN15" s="50"/>
      <c r="CO15" s="50"/>
      <c r="CP15" s="50">
        <f t="shared" si="30"/>
        <v>0</v>
      </c>
      <c r="CQ15" s="50"/>
      <c r="CR15" s="50"/>
      <c r="CS15" s="50">
        <f t="shared" si="4"/>
        <v>0</v>
      </c>
    </row>
    <row r="16" spans="1:97" ht="15" customHeight="1" x14ac:dyDescent="0.25">
      <c r="A16" s="51" t="s">
        <v>191</v>
      </c>
      <c r="B16" s="50"/>
      <c r="C16" s="50"/>
      <c r="D16" s="50">
        <f t="shared" si="0"/>
        <v>0</v>
      </c>
      <c r="E16" s="50"/>
      <c r="F16" s="50"/>
      <c r="G16" s="50">
        <f t="shared" si="5"/>
        <v>0</v>
      </c>
      <c r="H16" s="50"/>
      <c r="I16" s="50"/>
      <c r="J16" s="50">
        <f t="shared" si="31"/>
        <v>0</v>
      </c>
      <c r="K16" s="50"/>
      <c r="L16" s="50"/>
      <c r="M16" s="50">
        <f t="shared" si="6"/>
        <v>0</v>
      </c>
      <c r="N16" s="50"/>
      <c r="O16" s="50"/>
      <c r="P16" s="50">
        <f t="shared" si="7"/>
        <v>0</v>
      </c>
      <c r="Q16" s="50"/>
      <c r="R16" s="50"/>
      <c r="S16" s="50">
        <f t="shared" si="8"/>
        <v>0</v>
      </c>
      <c r="T16" s="50"/>
      <c r="U16" s="50"/>
      <c r="V16" s="50">
        <f t="shared" si="9"/>
        <v>0</v>
      </c>
      <c r="W16" s="50"/>
      <c r="X16" s="50"/>
      <c r="Y16" s="50">
        <f t="shared" si="10"/>
        <v>0</v>
      </c>
      <c r="Z16" s="50"/>
      <c r="AA16" s="50"/>
      <c r="AB16" s="50">
        <f t="shared" si="11"/>
        <v>0</v>
      </c>
      <c r="AC16" s="50"/>
      <c r="AD16" s="50"/>
      <c r="AE16" s="50">
        <f t="shared" si="12"/>
        <v>0</v>
      </c>
      <c r="AF16" s="50"/>
      <c r="AG16" s="50"/>
      <c r="AH16" s="50">
        <f t="shared" si="13"/>
        <v>0</v>
      </c>
      <c r="AI16" s="50"/>
      <c r="AJ16" s="50"/>
      <c r="AK16" s="50">
        <f t="shared" si="14"/>
        <v>0</v>
      </c>
      <c r="AL16" s="50">
        <v>1022</v>
      </c>
      <c r="AM16" s="50">
        <v>3978</v>
      </c>
      <c r="AN16" s="50">
        <f t="shared" si="15"/>
        <v>5000</v>
      </c>
      <c r="AO16" s="50"/>
      <c r="AP16" s="50"/>
      <c r="AQ16" s="50">
        <f t="shared" si="16"/>
        <v>0</v>
      </c>
      <c r="AR16" s="50"/>
      <c r="AS16" s="50"/>
      <c r="AT16" s="50">
        <f t="shared" si="17"/>
        <v>0</v>
      </c>
      <c r="AU16" s="50"/>
      <c r="AV16" s="50"/>
      <c r="AW16" s="50">
        <f t="shared" si="18"/>
        <v>0</v>
      </c>
      <c r="AX16" s="50"/>
      <c r="AY16" s="50"/>
      <c r="AZ16" s="50">
        <f t="shared" si="19"/>
        <v>0</v>
      </c>
      <c r="BA16" s="50"/>
      <c r="BB16" s="50"/>
      <c r="BC16" s="50">
        <f t="shared" si="20"/>
        <v>0</v>
      </c>
      <c r="BD16" s="50"/>
      <c r="BE16" s="50"/>
      <c r="BF16" s="50">
        <f t="shared" si="21"/>
        <v>0</v>
      </c>
      <c r="BG16" s="50"/>
      <c r="BH16" s="50"/>
      <c r="BI16" s="50">
        <f t="shared" si="22"/>
        <v>0</v>
      </c>
      <c r="BJ16" s="50"/>
      <c r="BK16" s="50"/>
      <c r="BL16" s="50">
        <f t="shared" si="23"/>
        <v>0</v>
      </c>
      <c r="BM16" s="50"/>
      <c r="BN16" s="50"/>
      <c r="BO16" s="50">
        <f t="shared" si="1"/>
        <v>0</v>
      </c>
      <c r="BP16" s="50"/>
      <c r="BQ16" s="50"/>
      <c r="BR16" s="50">
        <f t="shared" si="24"/>
        <v>0</v>
      </c>
      <c r="BS16" s="50"/>
      <c r="BT16" s="50"/>
      <c r="BU16" s="50">
        <f t="shared" si="25"/>
        <v>0</v>
      </c>
      <c r="BV16" s="50"/>
      <c r="BW16" s="50"/>
      <c r="BX16" s="50">
        <f t="shared" si="26"/>
        <v>0</v>
      </c>
      <c r="BY16" s="50">
        <v>1613910</v>
      </c>
      <c r="BZ16" s="50"/>
      <c r="CA16" s="50">
        <f t="shared" si="2"/>
        <v>1613910</v>
      </c>
      <c r="CB16" s="50"/>
      <c r="CC16" s="50"/>
      <c r="CD16" s="50">
        <f t="shared" si="27"/>
        <v>0</v>
      </c>
      <c r="CE16" s="50"/>
      <c r="CF16" s="50"/>
      <c r="CG16" s="50">
        <f t="shared" si="28"/>
        <v>0</v>
      </c>
      <c r="CH16" s="50">
        <v>991605</v>
      </c>
      <c r="CI16" s="50"/>
      <c r="CJ16" s="50">
        <f t="shared" si="29"/>
        <v>991605</v>
      </c>
      <c r="CK16" s="50">
        <v>13</v>
      </c>
      <c r="CL16" s="50">
        <v>487</v>
      </c>
      <c r="CM16" s="50">
        <f t="shared" si="3"/>
        <v>500</v>
      </c>
      <c r="CN16" s="50"/>
      <c r="CO16" s="50"/>
      <c r="CP16" s="50">
        <f t="shared" si="30"/>
        <v>0</v>
      </c>
      <c r="CQ16" s="50"/>
      <c r="CR16" s="50"/>
      <c r="CS16" s="50">
        <f t="shared" si="4"/>
        <v>0</v>
      </c>
    </row>
    <row r="17" spans="1:97" ht="15" customHeight="1" x14ac:dyDescent="0.25">
      <c r="A17" s="51" t="s">
        <v>192</v>
      </c>
      <c r="B17" s="50"/>
      <c r="C17" s="50"/>
      <c r="D17" s="50">
        <f t="shared" si="0"/>
        <v>0</v>
      </c>
      <c r="E17" s="50"/>
      <c r="F17" s="50"/>
      <c r="G17" s="50">
        <f t="shared" si="5"/>
        <v>0</v>
      </c>
      <c r="H17" s="50"/>
      <c r="I17" s="50"/>
      <c r="J17" s="50">
        <f t="shared" si="31"/>
        <v>0</v>
      </c>
      <c r="K17" s="50"/>
      <c r="L17" s="50"/>
      <c r="M17" s="50">
        <f t="shared" si="6"/>
        <v>0</v>
      </c>
      <c r="N17" s="50"/>
      <c r="O17" s="50">
        <v>620060</v>
      </c>
      <c r="P17" s="50">
        <f t="shared" si="7"/>
        <v>620060</v>
      </c>
      <c r="Q17" s="50">
        <f>30268+1777</f>
        <v>32045</v>
      </c>
      <c r="R17" s="50">
        <f>257983+15142</f>
        <v>273125</v>
      </c>
      <c r="S17" s="50">
        <f t="shared" si="8"/>
        <v>305170</v>
      </c>
      <c r="T17" s="50"/>
      <c r="U17" s="50"/>
      <c r="V17" s="50">
        <f t="shared" si="9"/>
        <v>0</v>
      </c>
      <c r="W17" s="50"/>
      <c r="X17" s="50"/>
      <c r="Y17" s="50">
        <f t="shared" si="10"/>
        <v>0</v>
      </c>
      <c r="Z17" s="50"/>
      <c r="AA17" s="50"/>
      <c r="AB17" s="50">
        <f t="shared" si="11"/>
        <v>0</v>
      </c>
      <c r="AC17" s="50"/>
      <c r="AD17" s="50"/>
      <c r="AE17" s="50">
        <f t="shared" si="12"/>
        <v>0</v>
      </c>
      <c r="AF17" s="50"/>
      <c r="AG17" s="50"/>
      <c r="AH17" s="50">
        <f t="shared" si="13"/>
        <v>0</v>
      </c>
      <c r="AI17" s="50">
        <v>249288</v>
      </c>
      <c r="AJ17" s="50">
        <v>791181</v>
      </c>
      <c r="AK17" s="50">
        <f t="shared" si="14"/>
        <v>1040469</v>
      </c>
      <c r="AL17" s="50"/>
      <c r="AM17" s="50"/>
      <c r="AN17" s="50">
        <f t="shared" si="15"/>
        <v>0</v>
      </c>
      <c r="AO17" s="50"/>
      <c r="AP17" s="50"/>
      <c r="AQ17" s="50">
        <f t="shared" si="16"/>
        <v>0</v>
      </c>
      <c r="AR17" s="50"/>
      <c r="AS17" s="50"/>
      <c r="AT17" s="50">
        <f t="shared" si="17"/>
        <v>0</v>
      </c>
      <c r="AU17" s="50"/>
      <c r="AV17" s="50"/>
      <c r="AW17" s="50">
        <f t="shared" si="18"/>
        <v>0</v>
      </c>
      <c r="AX17" s="50"/>
      <c r="AY17" s="50"/>
      <c r="AZ17" s="50">
        <f t="shared" si="19"/>
        <v>0</v>
      </c>
      <c r="BA17" s="50"/>
      <c r="BB17" s="50"/>
      <c r="BC17" s="50">
        <f t="shared" si="20"/>
        <v>0</v>
      </c>
      <c r="BD17" s="50">
        <v>53</v>
      </c>
      <c r="BE17" s="50">
        <v>2295</v>
      </c>
      <c r="BF17" s="50">
        <f t="shared" si="21"/>
        <v>2348</v>
      </c>
      <c r="BG17" s="50"/>
      <c r="BH17" s="50"/>
      <c r="BI17" s="50">
        <f t="shared" si="22"/>
        <v>0</v>
      </c>
      <c r="BJ17" s="50"/>
      <c r="BK17" s="50"/>
      <c r="BL17" s="50">
        <f t="shared" si="23"/>
        <v>0</v>
      </c>
      <c r="BM17" s="50"/>
      <c r="BN17" s="50"/>
      <c r="BO17" s="50">
        <f t="shared" si="1"/>
        <v>0</v>
      </c>
      <c r="BP17" s="50"/>
      <c r="BQ17" s="50"/>
      <c r="BR17" s="50">
        <f t="shared" si="24"/>
        <v>0</v>
      </c>
      <c r="BS17" s="50"/>
      <c r="BT17" s="50"/>
      <c r="BU17" s="50">
        <f t="shared" si="25"/>
        <v>0</v>
      </c>
      <c r="BV17" s="50"/>
      <c r="BW17" s="50"/>
      <c r="BX17" s="50">
        <f t="shared" si="26"/>
        <v>0</v>
      </c>
      <c r="BY17" s="50"/>
      <c r="BZ17" s="50"/>
      <c r="CA17" s="50">
        <f t="shared" si="2"/>
        <v>0</v>
      </c>
      <c r="CB17" s="50">
        <v>422549</v>
      </c>
      <c r="CC17" s="50">
        <v>611351</v>
      </c>
      <c r="CD17" s="50">
        <f t="shared" si="27"/>
        <v>1033900</v>
      </c>
      <c r="CE17" s="50">
        <v>878592</v>
      </c>
      <c r="CF17" s="50">
        <v>3497566</v>
      </c>
      <c r="CG17" s="50">
        <f t="shared" si="28"/>
        <v>4376158</v>
      </c>
      <c r="CH17" s="50"/>
      <c r="CI17" s="50"/>
      <c r="CJ17" s="50">
        <f t="shared" si="29"/>
        <v>0</v>
      </c>
      <c r="CK17" s="50"/>
      <c r="CL17" s="50"/>
      <c r="CM17" s="50">
        <f t="shared" si="3"/>
        <v>0</v>
      </c>
      <c r="CN17" s="50"/>
      <c r="CO17" s="50"/>
      <c r="CP17" s="50">
        <f t="shared" si="30"/>
        <v>0</v>
      </c>
      <c r="CQ17" s="50"/>
      <c r="CR17" s="50"/>
      <c r="CS17" s="50">
        <f t="shared" si="4"/>
        <v>0</v>
      </c>
    </row>
    <row r="18" spans="1:97" ht="15" customHeight="1" x14ac:dyDescent="0.25">
      <c r="A18" s="51" t="s">
        <v>193</v>
      </c>
      <c r="B18" s="50">
        <v>321160</v>
      </c>
      <c r="C18" s="50">
        <v>1288601</v>
      </c>
      <c r="D18" s="50">
        <f t="shared" si="0"/>
        <v>1609761</v>
      </c>
      <c r="E18" s="50">
        <f>50254+259162</f>
        <v>309416</v>
      </c>
      <c r="F18" s="50">
        <f>202595+606081</f>
        <v>808676</v>
      </c>
      <c r="G18" s="50">
        <f t="shared" si="5"/>
        <v>1118092</v>
      </c>
      <c r="H18" s="50"/>
      <c r="I18" s="50"/>
      <c r="J18" s="50">
        <v>8393296</v>
      </c>
      <c r="K18" s="50">
        <v>10807954</v>
      </c>
      <c r="L18" s="50">
        <v>35979309</v>
      </c>
      <c r="M18" s="50">
        <f t="shared" si="6"/>
        <v>46787263</v>
      </c>
      <c r="N18" s="50"/>
      <c r="O18" s="50">
        <v>14977976</v>
      </c>
      <c r="P18" s="50">
        <f t="shared" si="7"/>
        <v>14977976</v>
      </c>
      <c r="Q18" s="50">
        <v>626267</v>
      </c>
      <c r="R18" s="50">
        <v>5337886</v>
      </c>
      <c r="S18" s="50">
        <f t="shared" si="8"/>
        <v>5964153</v>
      </c>
      <c r="T18" s="50">
        <v>13630906.960000001</v>
      </c>
      <c r="U18" s="50">
        <v>18068876.66</v>
      </c>
      <c r="V18" s="50">
        <f t="shared" si="9"/>
        <v>31699783.620000001</v>
      </c>
      <c r="W18" s="50">
        <v>156366</v>
      </c>
      <c r="X18" s="50">
        <v>747161</v>
      </c>
      <c r="Y18" s="50">
        <f t="shared" si="10"/>
        <v>903527</v>
      </c>
      <c r="Z18" s="50">
        <v>3654411</v>
      </c>
      <c r="AA18" s="50">
        <v>14935162</v>
      </c>
      <c r="AB18" s="50">
        <f t="shared" si="11"/>
        <v>18589573</v>
      </c>
      <c r="AC18" s="50">
        <v>1964198</v>
      </c>
      <c r="AD18" s="50">
        <v>3682138</v>
      </c>
      <c r="AE18" s="50">
        <f t="shared" si="12"/>
        <v>5646336</v>
      </c>
      <c r="AF18" s="50">
        <v>7959598</v>
      </c>
      <c r="AG18" s="50">
        <v>36902050</v>
      </c>
      <c r="AH18" s="50">
        <f t="shared" si="13"/>
        <v>44861648</v>
      </c>
      <c r="AI18" s="50">
        <v>15339673</v>
      </c>
      <c r="AJ18" s="50">
        <v>48684408</v>
      </c>
      <c r="AK18" s="50">
        <f t="shared" si="14"/>
        <v>64024081</v>
      </c>
      <c r="AL18" s="50">
        <v>6563359</v>
      </c>
      <c r="AM18" s="50">
        <v>25543571</v>
      </c>
      <c r="AN18" s="50">
        <f t="shared" si="15"/>
        <v>32106930</v>
      </c>
      <c r="AO18" s="50">
        <v>314843</v>
      </c>
      <c r="AP18" s="50">
        <v>1215764</v>
      </c>
      <c r="AQ18" s="50">
        <f>AP18+AO18</f>
        <v>1530607</v>
      </c>
      <c r="AR18" s="50">
        <v>1414397</v>
      </c>
      <c r="AS18" s="50">
        <v>4006813</v>
      </c>
      <c r="AT18" s="50">
        <f t="shared" si="17"/>
        <v>5421210</v>
      </c>
      <c r="AU18" s="50">
        <v>871719</v>
      </c>
      <c r="AV18" s="50">
        <v>6458715</v>
      </c>
      <c r="AW18" s="50">
        <f t="shared" si="18"/>
        <v>7330434</v>
      </c>
      <c r="AX18" s="50">
        <v>693675</v>
      </c>
      <c r="AY18" s="50">
        <v>1119008</v>
      </c>
      <c r="AZ18" s="50">
        <f t="shared" si="19"/>
        <v>1812683</v>
      </c>
      <c r="BA18" s="50">
        <v>1422220</v>
      </c>
      <c r="BB18" s="50">
        <v>2342455</v>
      </c>
      <c r="BC18" s="50">
        <f t="shared" si="20"/>
        <v>3764675</v>
      </c>
      <c r="BD18" s="50">
        <v>590603</v>
      </c>
      <c r="BE18" s="50">
        <v>25357429</v>
      </c>
      <c r="BF18" s="50">
        <f t="shared" si="21"/>
        <v>25948032</v>
      </c>
      <c r="BG18" s="50">
        <v>99797</v>
      </c>
      <c r="BH18" s="50">
        <v>800507</v>
      </c>
      <c r="BI18" s="50">
        <f t="shared" si="22"/>
        <v>900304</v>
      </c>
      <c r="BJ18" s="50">
        <v>204272</v>
      </c>
      <c r="BK18" s="50">
        <v>434224</v>
      </c>
      <c r="BL18" s="50">
        <f t="shared" si="23"/>
        <v>638496</v>
      </c>
      <c r="BM18" s="50">
        <v>1399106</v>
      </c>
      <c r="BN18" s="50">
        <v>6787722</v>
      </c>
      <c r="BO18" s="50">
        <f t="shared" si="1"/>
        <v>8186828</v>
      </c>
      <c r="BP18" s="50">
        <v>4028036</v>
      </c>
      <c r="BQ18" s="50">
        <v>5417246</v>
      </c>
      <c r="BR18" s="50">
        <f t="shared" si="24"/>
        <v>9445282</v>
      </c>
      <c r="BS18" s="50">
        <v>1841779</v>
      </c>
      <c r="BT18" s="50">
        <v>10024936</v>
      </c>
      <c r="BU18" s="50">
        <f t="shared" si="25"/>
        <v>11866715</v>
      </c>
      <c r="BV18" s="50">
        <v>5326115</v>
      </c>
      <c r="BW18" s="50">
        <v>25375967</v>
      </c>
      <c r="BX18" s="50">
        <f t="shared" si="26"/>
        <v>30702082</v>
      </c>
      <c r="BY18" s="50">
        <v>5954110</v>
      </c>
      <c r="BZ18" s="50">
        <v>52948296</v>
      </c>
      <c r="CA18" s="50">
        <f t="shared" si="2"/>
        <v>58902406</v>
      </c>
      <c r="CB18" s="50">
        <v>8741992</v>
      </c>
      <c r="CC18" s="50">
        <v>12648073</v>
      </c>
      <c r="CD18" s="50">
        <f t="shared" si="27"/>
        <v>21390065</v>
      </c>
      <c r="CE18" s="50">
        <v>6709683</v>
      </c>
      <c r="CF18" s="50">
        <v>26710435</v>
      </c>
      <c r="CG18" s="50">
        <f t="shared" si="28"/>
        <v>33420118</v>
      </c>
      <c r="CH18" s="50">
        <v>23196583</v>
      </c>
      <c r="CI18" s="50">
        <v>51904253</v>
      </c>
      <c r="CJ18" s="50">
        <f t="shared" si="29"/>
        <v>75100836</v>
      </c>
      <c r="CK18" s="50">
        <v>906775</v>
      </c>
      <c r="CL18" s="50">
        <v>32928115</v>
      </c>
      <c r="CM18" s="50">
        <f t="shared" si="3"/>
        <v>33834890</v>
      </c>
      <c r="CN18" s="50"/>
      <c r="CO18" s="50"/>
      <c r="CP18" s="50">
        <v>48911085</v>
      </c>
      <c r="CQ18" s="50">
        <v>384269</v>
      </c>
      <c r="CR18" s="50">
        <v>6029143</v>
      </c>
      <c r="CS18" s="50">
        <f t="shared" si="4"/>
        <v>6413412</v>
      </c>
    </row>
    <row r="19" spans="1:97" ht="15" customHeight="1" x14ac:dyDescent="0.25">
      <c r="A19" s="51" t="s">
        <v>194</v>
      </c>
      <c r="B19" s="50"/>
      <c r="C19" s="50"/>
      <c r="D19" s="50">
        <f t="shared" si="0"/>
        <v>0</v>
      </c>
      <c r="E19" s="50"/>
      <c r="F19" s="50">
        <v>150300</v>
      </c>
      <c r="G19" s="50">
        <f t="shared" si="5"/>
        <v>150300</v>
      </c>
      <c r="H19" s="50"/>
      <c r="I19" s="50"/>
      <c r="J19" s="50">
        <v>168144</v>
      </c>
      <c r="K19" s="50"/>
      <c r="L19" s="50"/>
      <c r="M19" s="50">
        <f t="shared" si="6"/>
        <v>0</v>
      </c>
      <c r="N19" s="50"/>
      <c r="O19" s="50"/>
      <c r="P19" s="50">
        <f t="shared" si="7"/>
        <v>0</v>
      </c>
      <c r="Q19" s="50">
        <f>111749+5485</f>
        <v>117234</v>
      </c>
      <c r="R19" s="50">
        <f>46750+952481</f>
        <v>999231</v>
      </c>
      <c r="S19" s="50">
        <f t="shared" si="8"/>
        <v>1116465</v>
      </c>
      <c r="T19" s="50">
        <v>570077.32999999996</v>
      </c>
      <c r="U19" s="50">
        <v>755683.9</v>
      </c>
      <c r="V19" s="50">
        <f t="shared" si="9"/>
        <v>1325761.23</v>
      </c>
      <c r="W19" s="50">
        <v>52687</v>
      </c>
      <c r="X19" s="50"/>
      <c r="Y19" s="50">
        <f t="shared" si="10"/>
        <v>52687</v>
      </c>
      <c r="Z19" s="50">
        <f>-24416+88887</f>
        <v>64471</v>
      </c>
      <c r="AA19" s="50">
        <f>-99784+363270</f>
        <v>263486</v>
      </c>
      <c r="AB19" s="50">
        <f t="shared" si="11"/>
        <v>327957</v>
      </c>
      <c r="AC19" s="50">
        <v>180588</v>
      </c>
      <c r="AD19" s="50"/>
      <c r="AE19" s="50">
        <f t="shared" si="12"/>
        <v>180588</v>
      </c>
      <c r="AF19" s="50"/>
      <c r="AG19" s="50"/>
      <c r="AH19" s="50">
        <f t="shared" si="13"/>
        <v>0</v>
      </c>
      <c r="AI19" s="50"/>
      <c r="AJ19" s="50"/>
      <c r="AK19" s="50">
        <f t="shared" si="14"/>
        <v>0</v>
      </c>
      <c r="AL19" s="50">
        <v>4793</v>
      </c>
      <c r="AM19" s="50">
        <v>18652</v>
      </c>
      <c r="AN19" s="50">
        <f t="shared" si="15"/>
        <v>23445</v>
      </c>
      <c r="AO19" s="50">
        <v>3109</v>
      </c>
      <c r="AP19" s="50">
        <v>12004</v>
      </c>
      <c r="AQ19" s="50">
        <f t="shared" si="16"/>
        <v>15113</v>
      </c>
      <c r="AR19" s="50"/>
      <c r="AS19" s="50"/>
      <c r="AT19" s="50">
        <f t="shared" ref="AT19" si="32">AS19+AR19</f>
        <v>0</v>
      </c>
      <c r="AU19" s="50">
        <v>147042</v>
      </c>
      <c r="AV19" s="50">
        <v>1089459</v>
      </c>
      <c r="AW19" s="50">
        <f t="shared" si="18"/>
        <v>1236501</v>
      </c>
      <c r="AX19" s="50"/>
      <c r="AY19" s="50"/>
      <c r="AZ19" s="50">
        <f t="shared" si="19"/>
        <v>0</v>
      </c>
      <c r="BA19" s="50"/>
      <c r="BB19" s="50"/>
      <c r="BC19" s="50">
        <f t="shared" si="20"/>
        <v>0</v>
      </c>
      <c r="BD19" s="50"/>
      <c r="BE19" s="50"/>
      <c r="BF19" s="50">
        <f t="shared" si="21"/>
        <v>0</v>
      </c>
      <c r="BG19" s="50">
        <v>17491</v>
      </c>
      <c r="BH19" s="50">
        <v>15167</v>
      </c>
      <c r="BI19" s="50">
        <f t="shared" si="22"/>
        <v>32658</v>
      </c>
      <c r="BJ19" s="50"/>
      <c r="BK19" s="50"/>
      <c r="BL19" s="50">
        <f t="shared" si="23"/>
        <v>0</v>
      </c>
      <c r="BM19" s="50">
        <f>256178-43198</f>
        <v>212980</v>
      </c>
      <c r="BN19" s="50">
        <f>1242834-209570</f>
        <v>1033264</v>
      </c>
      <c r="BO19" s="50">
        <f t="shared" si="1"/>
        <v>1246244</v>
      </c>
      <c r="BP19" s="50">
        <v>51905</v>
      </c>
      <c r="BQ19" s="50"/>
      <c r="BR19" s="50">
        <f t="shared" si="24"/>
        <v>51905</v>
      </c>
      <c r="BS19" s="50">
        <v>260401</v>
      </c>
      <c r="BT19" s="50">
        <v>1417388</v>
      </c>
      <c r="BU19" s="50">
        <f t="shared" si="25"/>
        <v>1677789</v>
      </c>
      <c r="BV19" s="50"/>
      <c r="BW19" s="50"/>
      <c r="BX19" s="50">
        <f t="shared" si="26"/>
        <v>0</v>
      </c>
      <c r="BY19" s="50"/>
      <c r="BZ19" s="50"/>
      <c r="CA19" s="50">
        <f t="shared" si="2"/>
        <v>0</v>
      </c>
      <c r="CB19" s="50">
        <v>436214</v>
      </c>
      <c r="CC19" s="50">
        <v>631122</v>
      </c>
      <c r="CD19" s="50">
        <f t="shared" si="27"/>
        <v>1067336</v>
      </c>
      <c r="CE19" s="50">
        <f>429351+254330</f>
        <v>683681</v>
      </c>
      <c r="CF19" s="50">
        <f>1709192+1012455</f>
        <v>2721647</v>
      </c>
      <c r="CG19" s="50">
        <f t="shared" si="28"/>
        <v>3405328</v>
      </c>
      <c r="CH19" s="50">
        <v>9559416</v>
      </c>
      <c r="CI19" s="50">
        <v>20807529</v>
      </c>
      <c r="CJ19" s="50">
        <f t="shared" si="29"/>
        <v>30366945</v>
      </c>
      <c r="CK19" s="50"/>
      <c r="CL19" s="50"/>
      <c r="CM19" s="50">
        <f t="shared" si="3"/>
        <v>0</v>
      </c>
      <c r="CN19" s="50"/>
      <c r="CO19" s="50"/>
      <c r="CP19" s="50">
        <v>17887698</v>
      </c>
      <c r="CQ19" s="50">
        <f>1198+1754</f>
        <v>2952</v>
      </c>
      <c r="CR19" s="50">
        <f>18802+27522</f>
        <v>46324</v>
      </c>
      <c r="CS19" s="50">
        <f t="shared" si="4"/>
        <v>49276</v>
      </c>
    </row>
    <row r="20" spans="1:97" s="53" customFormat="1" ht="15" customHeight="1" x14ac:dyDescent="0.25">
      <c r="A20" s="49" t="s">
        <v>195</v>
      </c>
      <c r="B20" s="52">
        <f>SUM(B6:B19)</f>
        <v>710081</v>
      </c>
      <c r="C20" s="52">
        <f t="shared" ref="C20:BK20" si="33">SUM(C6:C19)</f>
        <v>2849081</v>
      </c>
      <c r="D20" s="52">
        <f t="shared" si="33"/>
        <v>3559162</v>
      </c>
      <c r="E20" s="52">
        <f t="shared" si="33"/>
        <v>2693129</v>
      </c>
      <c r="F20" s="52">
        <f t="shared" si="33"/>
        <v>7677032</v>
      </c>
      <c r="G20" s="52">
        <f t="shared" si="33"/>
        <v>10370161</v>
      </c>
      <c r="H20" s="52">
        <f t="shared" si="33"/>
        <v>0</v>
      </c>
      <c r="I20" s="52">
        <f t="shared" si="33"/>
        <v>0</v>
      </c>
      <c r="J20" s="52">
        <f t="shared" si="33"/>
        <v>95089757</v>
      </c>
      <c r="K20" s="52">
        <f t="shared" si="33"/>
        <v>49211574</v>
      </c>
      <c r="L20" s="52">
        <f t="shared" si="33"/>
        <v>146950069</v>
      </c>
      <c r="M20" s="52">
        <f t="shared" si="33"/>
        <v>196161643</v>
      </c>
      <c r="N20" s="52">
        <f t="shared" si="33"/>
        <v>0</v>
      </c>
      <c r="O20" s="52">
        <f t="shared" si="33"/>
        <v>38328616</v>
      </c>
      <c r="P20" s="52">
        <f t="shared" si="33"/>
        <v>38328616</v>
      </c>
      <c r="Q20" s="52">
        <f t="shared" si="33"/>
        <v>9874384</v>
      </c>
      <c r="R20" s="52">
        <f t="shared" si="33"/>
        <v>84162761</v>
      </c>
      <c r="S20" s="52">
        <f t="shared" si="33"/>
        <v>94037145</v>
      </c>
      <c r="T20" s="52">
        <f t="shared" si="33"/>
        <v>47610616.829999998</v>
      </c>
      <c r="U20" s="52">
        <f t="shared" si="33"/>
        <v>63111747.869999997</v>
      </c>
      <c r="V20" s="52">
        <f t="shared" si="33"/>
        <v>110722364.7</v>
      </c>
      <c r="W20" s="52">
        <f t="shared" si="33"/>
        <v>530853</v>
      </c>
      <c r="X20" s="52">
        <f t="shared" si="33"/>
        <v>1776542</v>
      </c>
      <c r="Y20" s="52">
        <f t="shared" si="33"/>
        <v>2307395</v>
      </c>
      <c r="Z20" s="52">
        <f t="shared" si="33"/>
        <v>10096846</v>
      </c>
      <c r="AA20" s="52">
        <f t="shared" si="33"/>
        <v>41264662</v>
      </c>
      <c r="AB20" s="52">
        <f t="shared" si="33"/>
        <v>51361508</v>
      </c>
      <c r="AC20" s="52">
        <f t="shared" si="33"/>
        <v>9115361</v>
      </c>
      <c r="AD20" s="52">
        <f t="shared" si="33"/>
        <v>33211905</v>
      </c>
      <c r="AE20" s="52">
        <f t="shared" si="33"/>
        <v>42327266</v>
      </c>
      <c r="AF20" s="52">
        <f t="shared" si="33"/>
        <v>24172343</v>
      </c>
      <c r="AG20" s="52">
        <f t="shared" si="33"/>
        <v>112067091</v>
      </c>
      <c r="AH20" s="52">
        <f t="shared" si="33"/>
        <v>136239434</v>
      </c>
      <c r="AI20" s="52">
        <f t="shared" si="33"/>
        <v>66952146</v>
      </c>
      <c r="AJ20" s="52">
        <f t="shared" si="33"/>
        <v>211767877</v>
      </c>
      <c r="AK20" s="52">
        <f t="shared" si="33"/>
        <v>278720023</v>
      </c>
      <c r="AL20" s="52">
        <f t="shared" si="33"/>
        <v>19691543</v>
      </c>
      <c r="AM20" s="52">
        <f t="shared" si="33"/>
        <v>76636412</v>
      </c>
      <c r="AN20" s="52">
        <f t="shared" si="33"/>
        <v>96327955</v>
      </c>
      <c r="AO20" s="52">
        <f t="shared" si="33"/>
        <v>1682948</v>
      </c>
      <c r="AP20" s="52">
        <f t="shared" si="33"/>
        <v>6498695</v>
      </c>
      <c r="AQ20" s="52">
        <f t="shared" si="33"/>
        <v>8181643</v>
      </c>
      <c r="AR20" s="52">
        <f t="shared" si="33"/>
        <v>7049701</v>
      </c>
      <c r="AS20" s="52">
        <f t="shared" si="33"/>
        <v>19970940</v>
      </c>
      <c r="AT20" s="52">
        <f t="shared" si="33"/>
        <v>27020641</v>
      </c>
      <c r="AU20" s="52">
        <f t="shared" si="33"/>
        <v>3191599</v>
      </c>
      <c r="AV20" s="52">
        <f t="shared" si="33"/>
        <v>23647100</v>
      </c>
      <c r="AW20" s="52">
        <f t="shared" si="33"/>
        <v>26838699</v>
      </c>
      <c r="AX20" s="52">
        <f t="shared" si="33"/>
        <v>1898888</v>
      </c>
      <c r="AY20" s="52">
        <f t="shared" si="33"/>
        <v>3903043</v>
      </c>
      <c r="AZ20" s="52">
        <f t="shared" si="33"/>
        <v>5801931</v>
      </c>
      <c r="BA20" s="52">
        <f t="shared" si="33"/>
        <v>4045574</v>
      </c>
      <c r="BB20" s="52">
        <f t="shared" si="33"/>
        <v>7791612</v>
      </c>
      <c r="BC20" s="52">
        <f t="shared" si="33"/>
        <v>11837186</v>
      </c>
      <c r="BD20" s="52">
        <f t="shared" si="33"/>
        <v>5908070</v>
      </c>
      <c r="BE20" s="52">
        <f t="shared" si="33"/>
        <v>253662005</v>
      </c>
      <c r="BF20" s="52">
        <f t="shared" si="33"/>
        <v>259570075</v>
      </c>
      <c r="BG20" s="52">
        <f t="shared" si="33"/>
        <v>1895044</v>
      </c>
      <c r="BH20" s="52">
        <f t="shared" si="33"/>
        <v>3135398</v>
      </c>
      <c r="BI20" s="52">
        <f t="shared" si="33"/>
        <v>5030442</v>
      </c>
      <c r="BJ20" s="52">
        <f t="shared" si="33"/>
        <v>1576012</v>
      </c>
      <c r="BK20" s="52">
        <f t="shared" si="33"/>
        <v>3329457</v>
      </c>
      <c r="BL20" s="52">
        <f t="shared" ref="BL20:CP20" si="34">SUM(BL6:BL19)</f>
        <v>4905469</v>
      </c>
      <c r="BM20" s="52">
        <f t="shared" si="34"/>
        <v>18612450</v>
      </c>
      <c r="BN20" s="52">
        <f t="shared" si="34"/>
        <v>90297835</v>
      </c>
      <c r="BO20" s="52">
        <f t="shared" si="34"/>
        <v>108910285</v>
      </c>
      <c r="BP20" s="52">
        <f t="shared" si="34"/>
        <v>8497746</v>
      </c>
      <c r="BQ20" s="52">
        <f t="shared" si="34"/>
        <v>13557575</v>
      </c>
      <c r="BR20" s="52">
        <f t="shared" si="34"/>
        <v>22055321</v>
      </c>
      <c r="BS20" s="52">
        <f t="shared" si="34"/>
        <v>8146361</v>
      </c>
      <c r="BT20" s="52">
        <f t="shared" si="34"/>
        <v>44341256</v>
      </c>
      <c r="BU20" s="52">
        <f t="shared" si="34"/>
        <v>52487617</v>
      </c>
      <c r="BV20" s="52">
        <f t="shared" ref="BV20:BX20" si="35">SUM(BV6:BV19)</f>
        <v>21876607</v>
      </c>
      <c r="BW20" s="52">
        <f t="shared" si="35"/>
        <v>64593698</v>
      </c>
      <c r="BX20" s="52">
        <f t="shared" si="35"/>
        <v>86470305</v>
      </c>
      <c r="BY20" s="52">
        <f t="shared" si="34"/>
        <v>16886987</v>
      </c>
      <c r="BZ20" s="52">
        <f t="shared" si="34"/>
        <v>84364640</v>
      </c>
      <c r="CA20" s="52">
        <f t="shared" si="34"/>
        <v>101251627</v>
      </c>
      <c r="CB20" s="52">
        <f t="shared" si="34"/>
        <v>25711493</v>
      </c>
      <c r="CC20" s="52">
        <f t="shared" si="34"/>
        <v>37199855</v>
      </c>
      <c r="CD20" s="52">
        <f t="shared" si="34"/>
        <v>62911348</v>
      </c>
      <c r="CE20" s="52">
        <f t="shared" si="34"/>
        <v>29598024</v>
      </c>
      <c r="CF20" s="52">
        <f t="shared" si="34"/>
        <v>117826143</v>
      </c>
      <c r="CG20" s="52">
        <f t="shared" si="34"/>
        <v>147424167</v>
      </c>
      <c r="CH20" s="52">
        <f t="shared" si="34"/>
        <v>203365893</v>
      </c>
      <c r="CI20" s="52">
        <f t="shared" si="34"/>
        <v>434551222</v>
      </c>
      <c r="CJ20" s="52">
        <f t="shared" si="34"/>
        <v>637917115</v>
      </c>
      <c r="CK20" s="52">
        <f t="shared" si="34"/>
        <v>5952689</v>
      </c>
      <c r="CL20" s="52">
        <f t="shared" si="34"/>
        <v>216162569</v>
      </c>
      <c r="CM20" s="52">
        <f t="shared" si="34"/>
        <v>222115258</v>
      </c>
      <c r="CN20" s="52">
        <f t="shared" si="34"/>
        <v>0</v>
      </c>
      <c r="CO20" s="52">
        <f t="shared" si="34"/>
        <v>0</v>
      </c>
      <c r="CP20" s="52">
        <f t="shared" si="34"/>
        <v>308267747</v>
      </c>
      <c r="CQ20" s="52">
        <f t="shared" ref="CQ20:CS20" si="36">SUM(CQ6:CQ19)</f>
        <v>1496390</v>
      </c>
      <c r="CR20" s="52">
        <f t="shared" si="36"/>
        <v>23478208</v>
      </c>
      <c r="CS20" s="52">
        <f t="shared" si="36"/>
        <v>24974598</v>
      </c>
    </row>
    <row r="21" spans="1:97" ht="15" customHeight="1" x14ac:dyDescent="0.25">
      <c r="A21" s="49" t="s">
        <v>196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</row>
    <row r="22" spans="1:97" ht="30" x14ac:dyDescent="0.25">
      <c r="A22" s="51" t="s">
        <v>181</v>
      </c>
      <c r="B22" s="50">
        <v>78360</v>
      </c>
      <c r="C22" s="50">
        <v>314406</v>
      </c>
      <c r="D22" s="50">
        <f t="shared" ref="D22:D36" si="37">B22+C22</f>
        <v>392766</v>
      </c>
      <c r="E22" s="50">
        <v>247463</v>
      </c>
      <c r="F22" s="50">
        <v>495653</v>
      </c>
      <c r="G22" s="50">
        <f t="shared" ref="G22:G36" si="38">F22+E22</f>
        <v>743116</v>
      </c>
      <c r="H22" s="50"/>
      <c r="I22" s="50"/>
      <c r="J22" s="50">
        <v>3445189</v>
      </c>
      <c r="K22" s="50">
        <v>3164321</v>
      </c>
      <c r="L22" s="50">
        <v>606741</v>
      </c>
      <c r="M22" s="50">
        <f t="shared" ref="M22:M36" si="39">L22+K22</f>
        <v>3771062</v>
      </c>
      <c r="N22" s="50"/>
      <c r="O22" s="50">
        <v>625898</v>
      </c>
      <c r="P22" s="50">
        <f t="shared" ref="P22:P36" si="40">O22+N22</f>
        <v>625898</v>
      </c>
      <c r="Q22" s="50"/>
      <c r="R22" s="50"/>
      <c r="S22" s="50">
        <f t="shared" ref="S22:S36" si="41">R22+Q22</f>
        <v>0</v>
      </c>
      <c r="T22" s="50">
        <v>583707.43000000005</v>
      </c>
      <c r="U22" s="50">
        <v>773751.7</v>
      </c>
      <c r="V22" s="50">
        <f t="shared" ref="V22:V36" si="42">U22+T22</f>
        <v>1357459.13</v>
      </c>
      <c r="W22" s="50">
        <v>149248</v>
      </c>
      <c r="X22" s="50"/>
      <c r="Y22" s="50">
        <f t="shared" ref="Y22:Y36" si="43">X22+W22</f>
        <v>149248</v>
      </c>
      <c r="Z22" s="50">
        <v>69315</v>
      </c>
      <c r="AA22" s="50">
        <v>283281</v>
      </c>
      <c r="AB22" s="50">
        <f t="shared" ref="AB22:AB36" si="44">AA22+Z22</f>
        <v>352596</v>
      </c>
      <c r="AC22" s="50"/>
      <c r="AD22" s="50"/>
      <c r="AE22" s="50">
        <f t="shared" ref="AE22:AE36" si="45">AD22+AC22</f>
        <v>0</v>
      </c>
      <c r="AF22" s="50">
        <v>918412</v>
      </c>
      <c r="AG22" s="50">
        <v>4257919</v>
      </c>
      <c r="AH22" s="50">
        <f t="shared" ref="AH22:AH36" si="46">AG22+AF22</f>
        <v>5176331</v>
      </c>
      <c r="AI22" s="50">
        <v>390771</v>
      </c>
      <c r="AJ22" s="50">
        <v>1240214</v>
      </c>
      <c r="AK22" s="50">
        <f t="shared" ref="AK22:AK36" si="47">AJ22+AI22</f>
        <v>1630985</v>
      </c>
      <c r="AL22" s="50">
        <v>273542</v>
      </c>
      <c r="AM22" s="50">
        <v>1064583</v>
      </c>
      <c r="AN22" s="50">
        <f t="shared" ref="AN22:AN36" si="48">AM22+AL22</f>
        <v>1338125</v>
      </c>
      <c r="AO22" s="50">
        <v>10462</v>
      </c>
      <c r="AP22" s="50">
        <v>40399</v>
      </c>
      <c r="AQ22" s="50">
        <f t="shared" ref="AQ22:AQ36" si="49">AP22+AO22</f>
        <v>50861</v>
      </c>
      <c r="AR22" s="50">
        <v>170563</v>
      </c>
      <c r="AS22" s="50">
        <v>483184</v>
      </c>
      <c r="AT22" s="50">
        <f t="shared" ref="AT22:AT36" si="50">AS22+AR22</f>
        <v>653747</v>
      </c>
      <c r="AU22" s="50"/>
      <c r="AV22" s="50"/>
      <c r="AW22" s="50">
        <f t="shared" ref="AW22:AW36" si="51">AV22+AU22</f>
        <v>0</v>
      </c>
      <c r="AX22" s="50">
        <v>200718</v>
      </c>
      <c r="AY22" s="50">
        <v>297517</v>
      </c>
      <c r="AZ22" s="50">
        <f t="shared" ref="AZ22:AZ36" si="52">AY22+AX22</f>
        <v>498235</v>
      </c>
      <c r="BA22" s="50">
        <v>200122</v>
      </c>
      <c r="BB22" s="50">
        <v>400546</v>
      </c>
      <c r="BC22" s="50">
        <f t="shared" ref="BC22:BC36" si="53">BB22+BA22</f>
        <v>600668</v>
      </c>
      <c r="BD22" s="50">
        <v>158711</v>
      </c>
      <c r="BE22" s="50">
        <v>6814221</v>
      </c>
      <c r="BF22" s="50">
        <f t="shared" ref="BF22:BF36" si="54">BE22+BD22</f>
        <v>6972932</v>
      </c>
      <c r="BG22" s="50"/>
      <c r="BH22" s="50"/>
      <c r="BI22" s="50">
        <f t="shared" ref="BI22:BI36" si="55">BH22+BG22</f>
        <v>0</v>
      </c>
      <c r="BJ22" s="50">
        <v>128433</v>
      </c>
      <c r="BK22" s="50">
        <v>273010</v>
      </c>
      <c r="BL22" s="50">
        <f t="shared" ref="BL22:BL36" si="56">BK22+BJ22</f>
        <v>401443</v>
      </c>
      <c r="BM22" s="50"/>
      <c r="BN22" s="50"/>
      <c r="BO22" s="50">
        <f t="shared" ref="BO22" si="57">BN22+BM22</f>
        <v>0</v>
      </c>
      <c r="BP22" s="50">
        <v>200981</v>
      </c>
      <c r="BQ22" s="50">
        <v>150267</v>
      </c>
      <c r="BR22" s="50">
        <f t="shared" ref="BR22:BR36" si="58">BQ22+BP22</f>
        <v>351248</v>
      </c>
      <c r="BS22" s="50"/>
      <c r="BT22" s="50"/>
      <c r="BU22" s="50">
        <f t="shared" ref="BU22:BU36" si="59">BT22+BS22</f>
        <v>0</v>
      </c>
      <c r="BV22" s="50"/>
      <c r="BW22" s="50"/>
      <c r="BX22" s="50">
        <f t="shared" ref="BX22:BX36" si="60">BW22+BV22</f>
        <v>0</v>
      </c>
      <c r="BY22" s="50">
        <v>98770</v>
      </c>
      <c r="BZ22" s="50">
        <v>189945</v>
      </c>
      <c r="CA22" s="50">
        <f t="shared" ref="CA22:CA23" si="61">BZ22+BY22</f>
        <v>288715</v>
      </c>
      <c r="CB22" s="50"/>
      <c r="CC22" s="50"/>
      <c r="CD22" s="50">
        <f t="shared" ref="CD22:CD36" si="62">CC22+CB22</f>
        <v>0</v>
      </c>
      <c r="CE22" s="50"/>
      <c r="CF22" s="50"/>
      <c r="CG22" s="50">
        <f t="shared" ref="CG22:CG36" si="63">CF22+CE22</f>
        <v>0</v>
      </c>
      <c r="CH22" s="50">
        <v>4748260</v>
      </c>
      <c r="CI22" s="50">
        <v>10624621</v>
      </c>
      <c r="CJ22" s="50">
        <f t="shared" ref="CJ22:CJ36" si="64">CI22+CH22</f>
        <v>15372881</v>
      </c>
      <c r="CK22" s="50">
        <v>120979</v>
      </c>
      <c r="CL22" s="50">
        <v>4393147</v>
      </c>
      <c r="CM22" s="50">
        <f t="shared" ref="CM22:CM36" si="65">CL22+CK22</f>
        <v>4514126</v>
      </c>
      <c r="CN22" s="50"/>
      <c r="CO22" s="50"/>
      <c r="CP22" s="50">
        <v>10978156</v>
      </c>
      <c r="CQ22" s="50">
        <v>174513</v>
      </c>
      <c r="CR22" s="50">
        <v>2738089</v>
      </c>
      <c r="CS22" s="50">
        <f t="shared" ref="CS22" si="66">CR22+CQ22</f>
        <v>2912602</v>
      </c>
    </row>
    <row r="23" spans="1:97" ht="15" customHeight="1" x14ac:dyDescent="0.25">
      <c r="A23" s="51" t="s">
        <v>182</v>
      </c>
      <c r="B23" s="50"/>
      <c r="C23" s="50"/>
      <c r="D23" s="50">
        <f t="shared" si="37"/>
        <v>0</v>
      </c>
      <c r="E23" s="50"/>
      <c r="F23" s="50"/>
      <c r="G23" s="50">
        <f t="shared" si="38"/>
        <v>0</v>
      </c>
      <c r="H23" s="50"/>
      <c r="I23" s="50"/>
      <c r="J23" s="50">
        <v>1794315</v>
      </c>
      <c r="K23" s="50"/>
      <c r="L23" s="50"/>
      <c r="M23" s="50">
        <f t="shared" si="39"/>
        <v>0</v>
      </c>
      <c r="N23" s="50"/>
      <c r="O23" s="50">
        <v>1050081</v>
      </c>
      <c r="P23" s="50">
        <f t="shared" si="40"/>
        <v>1050081</v>
      </c>
      <c r="Q23" s="50"/>
      <c r="R23" s="50"/>
      <c r="S23" s="50">
        <f t="shared" si="41"/>
        <v>0</v>
      </c>
      <c r="T23" s="50"/>
      <c r="U23" s="50"/>
      <c r="V23" s="50">
        <f t="shared" si="42"/>
        <v>0</v>
      </c>
      <c r="W23" s="50">
        <v>44416</v>
      </c>
      <c r="X23" s="50"/>
      <c r="Y23" s="50">
        <f t="shared" si="43"/>
        <v>44416</v>
      </c>
      <c r="Z23" s="50"/>
      <c r="AA23" s="50"/>
      <c r="AB23" s="50">
        <f t="shared" si="44"/>
        <v>0</v>
      </c>
      <c r="AC23" s="50">
        <v>204859</v>
      </c>
      <c r="AD23" s="50"/>
      <c r="AE23" s="50">
        <f t="shared" si="45"/>
        <v>204859</v>
      </c>
      <c r="AF23" s="50">
        <v>38479</v>
      </c>
      <c r="AG23" s="50">
        <v>178396</v>
      </c>
      <c r="AH23" s="50">
        <f t="shared" si="46"/>
        <v>216875</v>
      </c>
      <c r="AI23" s="50">
        <v>2100409</v>
      </c>
      <c r="AJ23" s="50">
        <v>6666189</v>
      </c>
      <c r="AK23" s="50">
        <f t="shared" si="47"/>
        <v>8766598</v>
      </c>
      <c r="AL23" s="50">
        <v>2935907</v>
      </c>
      <c r="AM23" s="50">
        <v>11426093</v>
      </c>
      <c r="AN23" s="50">
        <f t="shared" si="48"/>
        <v>14362000</v>
      </c>
      <c r="AO23" s="50"/>
      <c r="AP23" s="50"/>
      <c r="AQ23" s="50">
        <f t="shared" si="49"/>
        <v>0</v>
      </c>
      <c r="AR23" s="50">
        <v>144470</v>
      </c>
      <c r="AS23" s="50">
        <v>409266</v>
      </c>
      <c r="AT23" s="50">
        <f t="shared" si="50"/>
        <v>553736</v>
      </c>
      <c r="AU23" s="50"/>
      <c r="AV23" s="50"/>
      <c r="AW23" s="50">
        <f t="shared" si="51"/>
        <v>0</v>
      </c>
      <c r="AX23" s="50"/>
      <c r="AY23" s="50">
        <v>254559</v>
      </c>
      <c r="AZ23" s="50">
        <f t="shared" si="52"/>
        <v>254559</v>
      </c>
      <c r="BA23" s="50"/>
      <c r="BB23" s="50">
        <v>150804</v>
      </c>
      <c r="BC23" s="50">
        <f t="shared" si="53"/>
        <v>150804</v>
      </c>
      <c r="BD23" s="50"/>
      <c r="BE23" s="50"/>
      <c r="BF23" s="50">
        <f t="shared" si="54"/>
        <v>0</v>
      </c>
      <c r="BG23" s="50"/>
      <c r="BH23" s="50"/>
      <c r="BI23" s="50">
        <f t="shared" si="55"/>
        <v>0</v>
      </c>
      <c r="BJ23" s="50"/>
      <c r="BK23" s="50"/>
      <c r="BL23" s="50">
        <f t="shared" si="56"/>
        <v>0</v>
      </c>
      <c r="BM23" s="50"/>
      <c r="BN23" s="50"/>
      <c r="BO23" s="50">
        <f t="shared" ref="BO23:BO36" si="67">BN23+BM23</f>
        <v>0</v>
      </c>
      <c r="BP23" s="50"/>
      <c r="BQ23" s="50"/>
      <c r="BR23" s="50">
        <f t="shared" si="58"/>
        <v>0</v>
      </c>
      <c r="BS23" s="50"/>
      <c r="BT23" s="50"/>
      <c r="BU23" s="50">
        <f t="shared" si="59"/>
        <v>0</v>
      </c>
      <c r="BV23" s="50"/>
      <c r="BW23" s="50"/>
      <c r="BX23" s="50">
        <f t="shared" si="60"/>
        <v>0</v>
      </c>
      <c r="BY23" s="50">
        <v>865</v>
      </c>
      <c r="BZ23" s="50">
        <v>2803807</v>
      </c>
      <c r="CA23" s="50">
        <f t="shared" si="61"/>
        <v>2804672</v>
      </c>
      <c r="CB23" s="50">
        <v>92568</v>
      </c>
      <c r="CC23" s="50">
        <v>133929</v>
      </c>
      <c r="CD23" s="50">
        <f t="shared" si="62"/>
        <v>226497</v>
      </c>
      <c r="CE23" s="50"/>
      <c r="CF23" s="50"/>
      <c r="CG23" s="50">
        <f t="shared" si="63"/>
        <v>0</v>
      </c>
      <c r="CH23" s="50"/>
      <c r="CI23" s="50"/>
      <c r="CJ23" s="50">
        <f t="shared" si="64"/>
        <v>0</v>
      </c>
      <c r="CK23" s="50"/>
      <c r="CL23" s="50"/>
      <c r="CM23" s="50">
        <f t="shared" si="65"/>
        <v>0</v>
      </c>
      <c r="CN23" s="50"/>
      <c r="CO23" s="50"/>
      <c r="CP23" s="50"/>
      <c r="CQ23" s="50"/>
      <c r="CR23" s="50"/>
      <c r="CS23" s="50">
        <f t="shared" ref="CS23:CS36" si="68">CR23+CQ23</f>
        <v>0</v>
      </c>
    </row>
    <row r="24" spans="1:97" ht="15" customHeight="1" x14ac:dyDescent="0.25">
      <c r="A24" s="51" t="s">
        <v>183</v>
      </c>
      <c r="B24" s="50"/>
      <c r="C24" s="50"/>
      <c r="D24" s="50">
        <f t="shared" si="37"/>
        <v>0</v>
      </c>
      <c r="E24" s="50"/>
      <c r="F24" s="50"/>
      <c r="G24" s="50">
        <f t="shared" si="38"/>
        <v>0</v>
      </c>
      <c r="H24" s="50"/>
      <c r="I24" s="50"/>
      <c r="J24" s="50">
        <f t="shared" ref="J24:J34" si="69">I24+H24</f>
        <v>0</v>
      </c>
      <c r="K24" s="50"/>
      <c r="L24" s="50"/>
      <c r="M24" s="50">
        <f t="shared" si="39"/>
        <v>0</v>
      </c>
      <c r="N24" s="50"/>
      <c r="O24" s="50"/>
      <c r="P24" s="50">
        <f t="shared" si="40"/>
        <v>0</v>
      </c>
      <c r="Q24" s="50"/>
      <c r="R24" s="50"/>
      <c r="S24" s="50">
        <f t="shared" si="41"/>
        <v>0</v>
      </c>
      <c r="T24" s="50"/>
      <c r="U24" s="50"/>
      <c r="V24" s="50">
        <f t="shared" si="42"/>
        <v>0</v>
      </c>
      <c r="W24" s="50"/>
      <c r="X24" s="50"/>
      <c r="Y24" s="50">
        <f t="shared" si="43"/>
        <v>0</v>
      </c>
      <c r="Z24" s="50"/>
      <c r="AA24" s="50"/>
      <c r="AB24" s="50">
        <f t="shared" si="44"/>
        <v>0</v>
      </c>
      <c r="AC24" s="50"/>
      <c r="AD24" s="50">
        <v>151873</v>
      </c>
      <c r="AE24" s="50">
        <f t="shared" si="45"/>
        <v>151873</v>
      </c>
      <c r="AF24" s="50"/>
      <c r="AG24" s="50"/>
      <c r="AH24" s="50">
        <f t="shared" si="46"/>
        <v>0</v>
      </c>
      <c r="AI24" s="50"/>
      <c r="AJ24" s="50"/>
      <c r="AK24" s="50">
        <f t="shared" si="47"/>
        <v>0</v>
      </c>
      <c r="AL24" s="50"/>
      <c r="AM24" s="50"/>
      <c r="AN24" s="50">
        <f t="shared" si="48"/>
        <v>0</v>
      </c>
      <c r="AO24" s="50"/>
      <c r="AP24" s="50"/>
      <c r="AQ24" s="50">
        <f t="shared" si="49"/>
        <v>0</v>
      </c>
      <c r="AR24" s="50"/>
      <c r="AS24" s="50"/>
      <c r="AT24" s="50">
        <f t="shared" si="50"/>
        <v>0</v>
      </c>
      <c r="AU24" s="50"/>
      <c r="AV24" s="50"/>
      <c r="AW24" s="50">
        <f t="shared" si="51"/>
        <v>0</v>
      </c>
      <c r="AX24" s="50"/>
      <c r="AY24" s="50"/>
      <c r="AZ24" s="50">
        <f t="shared" si="52"/>
        <v>0</v>
      </c>
      <c r="BA24" s="50"/>
      <c r="BB24" s="50"/>
      <c r="BC24" s="50">
        <f t="shared" si="53"/>
        <v>0</v>
      </c>
      <c r="BD24" s="50"/>
      <c r="BE24" s="50"/>
      <c r="BF24" s="50">
        <f t="shared" si="54"/>
        <v>0</v>
      </c>
      <c r="BG24" s="50"/>
      <c r="BH24" s="50"/>
      <c r="BI24" s="50">
        <f t="shared" si="55"/>
        <v>0</v>
      </c>
      <c r="BJ24" s="50"/>
      <c r="BK24" s="50"/>
      <c r="BL24" s="50">
        <f t="shared" si="56"/>
        <v>0</v>
      </c>
      <c r="BM24" s="50"/>
      <c r="BN24" s="50"/>
      <c r="BO24" s="50">
        <f t="shared" si="67"/>
        <v>0</v>
      </c>
      <c r="BP24" s="50"/>
      <c r="BQ24" s="50"/>
      <c r="BR24" s="50">
        <f t="shared" si="58"/>
        <v>0</v>
      </c>
      <c r="BS24" s="50"/>
      <c r="BT24" s="50"/>
      <c r="BU24" s="50">
        <f t="shared" si="59"/>
        <v>0</v>
      </c>
      <c r="BV24" s="50"/>
      <c r="BW24" s="50"/>
      <c r="BX24" s="50">
        <f t="shared" si="60"/>
        <v>0</v>
      </c>
      <c r="BY24" s="50"/>
      <c r="BZ24" s="50"/>
      <c r="CA24" s="50">
        <f t="shared" ref="CA24:CA35" si="70">BZ24+BY24</f>
        <v>0</v>
      </c>
      <c r="CB24" s="50"/>
      <c r="CC24" s="50"/>
      <c r="CD24" s="50">
        <f t="shared" si="62"/>
        <v>0</v>
      </c>
      <c r="CE24" s="50"/>
      <c r="CF24" s="50"/>
      <c r="CG24" s="50">
        <f t="shared" si="63"/>
        <v>0</v>
      </c>
      <c r="CH24" s="50"/>
      <c r="CI24" s="50"/>
      <c r="CJ24" s="50">
        <f t="shared" si="64"/>
        <v>0</v>
      </c>
      <c r="CK24" s="50"/>
      <c r="CL24" s="50"/>
      <c r="CM24" s="50">
        <f t="shared" si="65"/>
        <v>0</v>
      </c>
      <c r="CN24" s="50"/>
      <c r="CO24" s="50"/>
      <c r="CP24" s="50">
        <f t="shared" ref="CP24:CP33" si="71">CO24+CN24</f>
        <v>0</v>
      </c>
      <c r="CQ24" s="50"/>
      <c r="CR24" s="50"/>
      <c r="CS24" s="50">
        <f t="shared" si="68"/>
        <v>0</v>
      </c>
    </row>
    <row r="25" spans="1:97" ht="15" customHeight="1" x14ac:dyDescent="0.25">
      <c r="A25" s="51" t="s">
        <v>184</v>
      </c>
      <c r="B25" s="50"/>
      <c r="C25" s="50"/>
      <c r="D25" s="50">
        <f t="shared" si="37"/>
        <v>0</v>
      </c>
      <c r="E25" s="50"/>
      <c r="F25" s="50"/>
      <c r="G25" s="50">
        <f t="shared" si="38"/>
        <v>0</v>
      </c>
      <c r="H25" s="50"/>
      <c r="I25" s="50"/>
      <c r="J25" s="50">
        <f t="shared" si="69"/>
        <v>0</v>
      </c>
      <c r="K25" s="50"/>
      <c r="L25" s="50"/>
      <c r="M25" s="50">
        <f t="shared" si="39"/>
        <v>0</v>
      </c>
      <c r="N25" s="50"/>
      <c r="O25" s="50"/>
      <c r="P25" s="50">
        <f t="shared" si="40"/>
        <v>0</v>
      </c>
      <c r="Q25" s="50"/>
      <c r="R25" s="50"/>
      <c r="S25" s="50">
        <f t="shared" si="41"/>
        <v>0</v>
      </c>
      <c r="T25" s="50"/>
      <c r="U25" s="50"/>
      <c r="V25" s="50">
        <f t="shared" si="42"/>
        <v>0</v>
      </c>
      <c r="W25" s="50"/>
      <c r="X25" s="50"/>
      <c r="Y25" s="50">
        <f t="shared" si="43"/>
        <v>0</v>
      </c>
      <c r="Z25" s="50"/>
      <c r="AA25" s="50"/>
      <c r="AB25" s="50">
        <f t="shared" si="44"/>
        <v>0</v>
      </c>
      <c r="AC25" s="50"/>
      <c r="AD25" s="50"/>
      <c r="AE25" s="50">
        <f t="shared" si="45"/>
        <v>0</v>
      </c>
      <c r="AF25" s="50"/>
      <c r="AG25" s="50"/>
      <c r="AH25" s="50">
        <f t="shared" si="46"/>
        <v>0</v>
      </c>
      <c r="AI25" s="50"/>
      <c r="AJ25" s="50"/>
      <c r="AK25" s="50">
        <f t="shared" si="47"/>
        <v>0</v>
      </c>
      <c r="AL25" s="50"/>
      <c r="AM25" s="50"/>
      <c r="AN25" s="50">
        <f t="shared" si="48"/>
        <v>0</v>
      </c>
      <c r="AO25" s="50"/>
      <c r="AP25" s="50"/>
      <c r="AQ25" s="50">
        <f t="shared" si="49"/>
        <v>0</v>
      </c>
      <c r="AR25" s="50"/>
      <c r="AS25" s="50"/>
      <c r="AT25" s="50">
        <f t="shared" si="50"/>
        <v>0</v>
      </c>
      <c r="AU25" s="50"/>
      <c r="AV25" s="50"/>
      <c r="AW25" s="50">
        <f t="shared" si="51"/>
        <v>0</v>
      </c>
      <c r="AX25" s="50"/>
      <c r="AY25" s="50"/>
      <c r="AZ25" s="50">
        <f t="shared" si="52"/>
        <v>0</v>
      </c>
      <c r="BA25" s="50"/>
      <c r="BB25" s="50"/>
      <c r="BC25" s="50">
        <f t="shared" si="53"/>
        <v>0</v>
      </c>
      <c r="BD25" s="50"/>
      <c r="BE25" s="50"/>
      <c r="BF25" s="50">
        <f t="shared" si="54"/>
        <v>0</v>
      </c>
      <c r="BG25" s="50"/>
      <c r="BH25" s="50"/>
      <c r="BI25" s="50">
        <f t="shared" si="55"/>
        <v>0</v>
      </c>
      <c r="BJ25" s="50"/>
      <c r="BK25" s="50"/>
      <c r="BL25" s="50">
        <f t="shared" si="56"/>
        <v>0</v>
      </c>
      <c r="BM25" s="50"/>
      <c r="BN25" s="50"/>
      <c r="BO25" s="50">
        <f t="shared" si="67"/>
        <v>0</v>
      </c>
      <c r="BP25" s="50"/>
      <c r="BQ25" s="50"/>
      <c r="BR25" s="50">
        <f t="shared" si="58"/>
        <v>0</v>
      </c>
      <c r="BS25" s="50"/>
      <c r="BT25" s="50"/>
      <c r="BU25" s="50">
        <f t="shared" si="59"/>
        <v>0</v>
      </c>
      <c r="BV25" s="50"/>
      <c r="BW25" s="50"/>
      <c r="BX25" s="50">
        <f t="shared" si="60"/>
        <v>0</v>
      </c>
      <c r="BY25" s="50"/>
      <c r="BZ25" s="50"/>
      <c r="CA25" s="50">
        <f t="shared" si="70"/>
        <v>0</v>
      </c>
      <c r="CB25" s="50"/>
      <c r="CC25" s="50"/>
      <c r="CD25" s="50">
        <f t="shared" si="62"/>
        <v>0</v>
      </c>
      <c r="CE25" s="50"/>
      <c r="CF25" s="50"/>
      <c r="CG25" s="50">
        <f t="shared" si="63"/>
        <v>0</v>
      </c>
      <c r="CH25" s="50"/>
      <c r="CI25" s="50"/>
      <c r="CJ25" s="50">
        <f t="shared" si="64"/>
        <v>0</v>
      </c>
      <c r="CK25" s="50"/>
      <c r="CL25" s="50"/>
      <c r="CM25" s="50">
        <f t="shared" si="65"/>
        <v>0</v>
      </c>
      <c r="CN25" s="50"/>
      <c r="CO25" s="50"/>
      <c r="CP25" s="50">
        <f t="shared" si="71"/>
        <v>0</v>
      </c>
      <c r="CQ25" s="50"/>
      <c r="CR25" s="50"/>
      <c r="CS25" s="50">
        <f t="shared" si="68"/>
        <v>0</v>
      </c>
    </row>
    <row r="26" spans="1:97" ht="15" customHeight="1" x14ac:dyDescent="0.25">
      <c r="A26" s="51" t="s">
        <v>185</v>
      </c>
      <c r="B26" s="50"/>
      <c r="C26" s="50"/>
      <c r="D26" s="50">
        <f t="shared" si="37"/>
        <v>0</v>
      </c>
      <c r="E26" s="50"/>
      <c r="F26" s="50"/>
      <c r="G26" s="50">
        <f t="shared" si="38"/>
        <v>0</v>
      </c>
      <c r="H26" s="50"/>
      <c r="I26" s="50"/>
      <c r="J26" s="50">
        <f t="shared" si="69"/>
        <v>0</v>
      </c>
      <c r="K26" s="50"/>
      <c r="L26" s="50"/>
      <c r="M26" s="50">
        <f t="shared" si="39"/>
        <v>0</v>
      </c>
      <c r="N26" s="50"/>
      <c r="O26" s="50">
        <v>171474</v>
      </c>
      <c r="P26" s="50">
        <f t="shared" si="40"/>
        <v>171474</v>
      </c>
      <c r="Q26" s="50"/>
      <c r="R26" s="50"/>
      <c r="S26" s="50">
        <f t="shared" si="41"/>
        <v>0</v>
      </c>
      <c r="T26" s="50"/>
      <c r="U26" s="50"/>
      <c r="V26" s="50">
        <f t="shared" si="42"/>
        <v>0</v>
      </c>
      <c r="W26" s="50"/>
      <c r="X26" s="50"/>
      <c r="Y26" s="50">
        <f t="shared" si="43"/>
        <v>0</v>
      </c>
      <c r="Z26" s="50"/>
      <c r="AA26" s="50"/>
      <c r="AB26" s="50">
        <f t="shared" si="44"/>
        <v>0</v>
      </c>
      <c r="AC26" s="50"/>
      <c r="AD26" s="50"/>
      <c r="AE26" s="50">
        <f t="shared" si="45"/>
        <v>0</v>
      </c>
      <c r="AF26" s="50">
        <v>81842</v>
      </c>
      <c r="AG26" s="50">
        <v>379433</v>
      </c>
      <c r="AH26" s="50">
        <f t="shared" si="46"/>
        <v>461275</v>
      </c>
      <c r="AI26" s="50"/>
      <c r="AJ26" s="50"/>
      <c r="AK26" s="50">
        <f t="shared" si="47"/>
        <v>0</v>
      </c>
      <c r="AL26" s="50"/>
      <c r="AM26" s="50"/>
      <c r="AN26" s="50">
        <f t="shared" si="48"/>
        <v>0</v>
      </c>
      <c r="AO26" s="50"/>
      <c r="AP26" s="50"/>
      <c r="AQ26" s="50">
        <f t="shared" si="49"/>
        <v>0</v>
      </c>
      <c r="AR26" s="50"/>
      <c r="AS26" s="50"/>
      <c r="AT26" s="50">
        <f t="shared" si="50"/>
        <v>0</v>
      </c>
      <c r="AU26" s="50"/>
      <c r="AV26" s="50"/>
      <c r="AW26" s="50">
        <f t="shared" si="51"/>
        <v>0</v>
      </c>
      <c r="AX26" s="50"/>
      <c r="AY26" s="50"/>
      <c r="AZ26" s="50">
        <f t="shared" si="52"/>
        <v>0</v>
      </c>
      <c r="BA26" s="50"/>
      <c r="BB26" s="50"/>
      <c r="BC26" s="50">
        <f t="shared" si="53"/>
        <v>0</v>
      </c>
      <c r="BD26" s="50"/>
      <c r="BE26" s="50"/>
      <c r="BF26" s="50">
        <f t="shared" si="54"/>
        <v>0</v>
      </c>
      <c r="BG26" s="50"/>
      <c r="BH26" s="50"/>
      <c r="BI26" s="50">
        <f t="shared" si="55"/>
        <v>0</v>
      </c>
      <c r="BJ26" s="50"/>
      <c r="BK26" s="50"/>
      <c r="BL26" s="50">
        <f t="shared" si="56"/>
        <v>0</v>
      </c>
      <c r="BM26" s="50">
        <v>371316</v>
      </c>
      <c r="BN26" s="50">
        <v>1801428</v>
      </c>
      <c r="BO26" s="50">
        <f t="shared" si="67"/>
        <v>2172744</v>
      </c>
      <c r="BP26" s="50"/>
      <c r="BQ26" s="50"/>
      <c r="BR26" s="50">
        <f t="shared" si="58"/>
        <v>0</v>
      </c>
      <c r="BS26" s="50">
        <v>637750</v>
      </c>
      <c r="BT26" s="50">
        <v>3471313</v>
      </c>
      <c r="BU26" s="50">
        <f t="shared" si="59"/>
        <v>4109063</v>
      </c>
      <c r="BV26" s="50"/>
      <c r="BW26" s="50"/>
      <c r="BX26" s="50">
        <f t="shared" si="60"/>
        <v>0</v>
      </c>
      <c r="BY26" s="50"/>
      <c r="BZ26" s="50"/>
      <c r="CA26" s="50">
        <f t="shared" si="70"/>
        <v>0</v>
      </c>
      <c r="CB26" s="50"/>
      <c r="CC26" s="50"/>
      <c r="CD26" s="50">
        <f t="shared" si="62"/>
        <v>0</v>
      </c>
      <c r="CE26" s="50"/>
      <c r="CF26" s="50"/>
      <c r="CG26" s="50">
        <f t="shared" si="63"/>
        <v>0</v>
      </c>
      <c r="CH26" s="50"/>
      <c r="CI26" s="50"/>
      <c r="CJ26" s="50">
        <f t="shared" si="64"/>
        <v>0</v>
      </c>
      <c r="CK26" s="50"/>
      <c r="CL26" s="50"/>
      <c r="CM26" s="50">
        <f t="shared" si="65"/>
        <v>0</v>
      </c>
      <c r="CN26" s="50"/>
      <c r="CO26" s="50"/>
      <c r="CP26" s="50">
        <f t="shared" si="71"/>
        <v>0</v>
      </c>
      <c r="CQ26" s="50">
        <v>17606</v>
      </c>
      <c r="CR26" s="50">
        <v>276235</v>
      </c>
      <c r="CS26" s="50">
        <f t="shared" si="68"/>
        <v>293841</v>
      </c>
    </row>
    <row r="27" spans="1:97" ht="15" customHeight="1" x14ac:dyDescent="0.25">
      <c r="A27" s="51" t="s">
        <v>186</v>
      </c>
      <c r="B27" s="50"/>
      <c r="C27" s="50"/>
      <c r="D27" s="50">
        <f t="shared" si="37"/>
        <v>0</v>
      </c>
      <c r="E27" s="50"/>
      <c r="F27" s="50"/>
      <c r="G27" s="50">
        <f t="shared" si="38"/>
        <v>0</v>
      </c>
      <c r="H27" s="50"/>
      <c r="I27" s="50"/>
      <c r="J27" s="50">
        <f t="shared" si="69"/>
        <v>0</v>
      </c>
      <c r="K27" s="50"/>
      <c r="L27" s="50"/>
      <c r="M27" s="50">
        <f t="shared" si="39"/>
        <v>0</v>
      </c>
      <c r="N27" s="50"/>
      <c r="O27" s="50"/>
      <c r="P27" s="50">
        <f t="shared" si="40"/>
        <v>0</v>
      </c>
      <c r="Q27" s="50"/>
      <c r="R27" s="50"/>
      <c r="S27" s="50">
        <f t="shared" si="41"/>
        <v>0</v>
      </c>
      <c r="T27" s="50"/>
      <c r="U27" s="50"/>
      <c r="V27" s="50">
        <f t="shared" si="42"/>
        <v>0</v>
      </c>
      <c r="W27" s="50">
        <v>3824</v>
      </c>
      <c r="X27" s="50"/>
      <c r="Y27" s="50">
        <f t="shared" si="43"/>
        <v>3824</v>
      </c>
      <c r="Z27" s="50"/>
      <c r="AA27" s="50"/>
      <c r="AB27" s="50">
        <f t="shared" si="44"/>
        <v>0</v>
      </c>
      <c r="AC27" s="50"/>
      <c r="AD27" s="50"/>
      <c r="AE27" s="50">
        <f t="shared" si="45"/>
        <v>0</v>
      </c>
      <c r="AF27" s="50">
        <v>2734</v>
      </c>
      <c r="AG27" s="50">
        <v>12673</v>
      </c>
      <c r="AH27" s="50">
        <f t="shared" si="46"/>
        <v>15407</v>
      </c>
      <c r="AI27" s="50">
        <v>3170</v>
      </c>
      <c r="AJ27" s="50">
        <v>10059</v>
      </c>
      <c r="AK27" s="50">
        <f t="shared" si="47"/>
        <v>13229</v>
      </c>
      <c r="AL27" s="50"/>
      <c r="AM27" s="50"/>
      <c r="AN27" s="50">
        <f t="shared" si="48"/>
        <v>0</v>
      </c>
      <c r="AO27" s="50"/>
      <c r="AP27" s="50"/>
      <c r="AQ27" s="50">
        <f t="shared" si="49"/>
        <v>0</v>
      </c>
      <c r="AR27" s="50"/>
      <c r="AS27" s="50"/>
      <c r="AT27" s="50">
        <f t="shared" si="50"/>
        <v>0</v>
      </c>
      <c r="AU27" s="50">
        <v>2210</v>
      </c>
      <c r="AV27" s="50">
        <v>16376</v>
      </c>
      <c r="AW27" s="50">
        <f t="shared" si="51"/>
        <v>18586</v>
      </c>
      <c r="AX27" s="50"/>
      <c r="AY27" s="50"/>
      <c r="AZ27" s="50">
        <f t="shared" si="52"/>
        <v>0</v>
      </c>
      <c r="BA27" s="50"/>
      <c r="BB27" s="50"/>
      <c r="BC27" s="50">
        <f t="shared" si="53"/>
        <v>0</v>
      </c>
      <c r="BD27" s="50"/>
      <c r="BE27" s="50"/>
      <c r="BF27" s="50">
        <f t="shared" si="54"/>
        <v>0</v>
      </c>
      <c r="BG27" s="50"/>
      <c r="BH27" s="50"/>
      <c r="BI27" s="50">
        <f t="shared" si="55"/>
        <v>0</v>
      </c>
      <c r="BJ27" s="50"/>
      <c r="BK27" s="50"/>
      <c r="BL27" s="50">
        <f t="shared" si="56"/>
        <v>0</v>
      </c>
      <c r="BM27" s="50"/>
      <c r="BN27" s="50"/>
      <c r="BO27" s="50">
        <f t="shared" si="67"/>
        <v>0</v>
      </c>
      <c r="BP27" s="50"/>
      <c r="BQ27" s="50"/>
      <c r="BR27" s="50">
        <f t="shared" si="58"/>
        <v>0</v>
      </c>
      <c r="BS27" s="50"/>
      <c r="BT27" s="50"/>
      <c r="BU27" s="50">
        <f t="shared" si="59"/>
        <v>0</v>
      </c>
      <c r="BV27" s="50"/>
      <c r="BW27" s="50"/>
      <c r="BX27" s="50">
        <f t="shared" si="60"/>
        <v>0</v>
      </c>
      <c r="BY27" s="50"/>
      <c r="BZ27" s="50"/>
      <c r="CA27" s="50">
        <f t="shared" si="70"/>
        <v>0</v>
      </c>
      <c r="CB27" s="50"/>
      <c r="CC27" s="50"/>
      <c r="CD27" s="50">
        <f t="shared" si="62"/>
        <v>0</v>
      </c>
      <c r="CE27" s="50"/>
      <c r="CF27" s="50"/>
      <c r="CG27" s="50">
        <f t="shared" si="63"/>
        <v>0</v>
      </c>
      <c r="CH27" s="50"/>
      <c r="CI27" s="50"/>
      <c r="CJ27" s="50">
        <f t="shared" si="64"/>
        <v>0</v>
      </c>
      <c r="CK27" s="50"/>
      <c r="CL27" s="50"/>
      <c r="CM27" s="50">
        <f t="shared" si="65"/>
        <v>0</v>
      </c>
      <c r="CN27" s="50"/>
      <c r="CO27" s="50"/>
      <c r="CP27" s="50">
        <f t="shared" si="71"/>
        <v>0</v>
      </c>
      <c r="CQ27" s="50"/>
      <c r="CR27" s="50"/>
      <c r="CS27" s="50">
        <f t="shared" si="68"/>
        <v>0</v>
      </c>
    </row>
    <row r="28" spans="1:97" ht="15" customHeight="1" x14ac:dyDescent="0.25">
      <c r="A28" s="51" t="s">
        <v>187</v>
      </c>
      <c r="B28" s="50">
        <v>30902</v>
      </c>
      <c r="C28" s="50">
        <v>123993</v>
      </c>
      <c r="D28" s="50">
        <f t="shared" si="37"/>
        <v>154895</v>
      </c>
      <c r="E28" s="50"/>
      <c r="F28" s="50">
        <v>1000865</v>
      </c>
      <c r="G28" s="50">
        <f t="shared" si="38"/>
        <v>1000865</v>
      </c>
      <c r="H28" s="50"/>
      <c r="I28" s="50"/>
      <c r="J28" s="50">
        <v>12538899</v>
      </c>
      <c r="K28" s="50"/>
      <c r="L28" s="50">
        <v>995788</v>
      </c>
      <c r="M28" s="50">
        <f t="shared" si="39"/>
        <v>995788</v>
      </c>
      <c r="N28" s="50"/>
      <c r="O28" s="50">
        <v>772192</v>
      </c>
      <c r="P28" s="50">
        <f t="shared" si="40"/>
        <v>772192</v>
      </c>
      <c r="Q28" s="50">
        <v>148630</v>
      </c>
      <c r="R28" s="50">
        <v>1266828</v>
      </c>
      <c r="S28" s="50">
        <f t="shared" si="41"/>
        <v>1415458</v>
      </c>
      <c r="T28" s="50">
        <v>2429080.02</v>
      </c>
      <c r="U28" s="50">
        <v>3219943.28</v>
      </c>
      <c r="V28" s="50">
        <f t="shared" si="42"/>
        <v>5649023.2999999998</v>
      </c>
      <c r="W28" s="50"/>
      <c r="X28" s="50">
        <v>237554</v>
      </c>
      <c r="Y28" s="50">
        <f t="shared" si="43"/>
        <v>237554</v>
      </c>
      <c r="Z28" s="50">
        <v>189</v>
      </c>
      <c r="AA28" s="50">
        <v>774</v>
      </c>
      <c r="AB28" s="50">
        <f t="shared" si="44"/>
        <v>963</v>
      </c>
      <c r="AC28" s="50"/>
      <c r="AD28" s="50"/>
      <c r="AE28" s="50">
        <f t="shared" si="45"/>
        <v>0</v>
      </c>
      <c r="AF28" s="50">
        <v>2321494</v>
      </c>
      <c r="AG28" s="50">
        <v>10762832</v>
      </c>
      <c r="AH28" s="50">
        <f t="shared" si="46"/>
        <v>13084326</v>
      </c>
      <c r="AI28" s="50">
        <v>1255863</v>
      </c>
      <c r="AJ28" s="50">
        <v>3282370</v>
      </c>
      <c r="AK28" s="50">
        <f t="shared" si="47"/>
        <v>4538233</v>
      </c>
      <c r="AL28" s="50">
        <v>460227</v>
      </c>
      <c r="AM28" s="50">
        <v>1791132</v>
      </c>
      <c r="AN28" s="50">
        <f t="shared" si="48"/>
        <v>2251359</v>
      </c>
      <c r="AO28" s="50">
        <v>43815</v>
      </c>
      <c r="AP28" s="50">
        <v>169192</v>
      </c>
      <c r="AQ28" s="50">
        <f t="shared" si="49"/>
        <v>213007</v>
      </c>
      <c r="AR28" s="50">
        <v>178055</v>
      </c>
      <c r="AS28" s="50">
        <v>504407</v>
      </c>
      <c r="AT28" s="50">
        <f t="shared" si="50"/>
        <v>682462</v>
      </c>
      <c r="AU28" s="50">
        <v>241639</v>
      </c>
      <c r="AV28" s="50">
        <v>1790346</v>
      </c>
      <c r="AW28" s="50">
        <f t="shared" si="51"/>
        <v>2031985</v>
      </c>
      <c r="AX28" s="50">
        <v>11775</v>
      </c>
      <c r="AY28" s="50">
        <v>585750</v>
      </c>
      <c r="AZ28" s="50">
        <f t="shared" si="52"/>
        <v>597525</v>
      </c>
      <c r="BA28" s="50">
        <v>1189334</v>
      </c>
      <c r="BB28" s="50">
        <v>63625</v>
      </c>
      <c r="BC28" s="50">
        <f t="shared" si="53"/>
        <v>1252959</v>
      </c>
      <c r="BD28" s="50">
        <v>159336</v>
      </c>
      <c r="BE28" s="50">
        <v>6841073</v>
      </c>
      <c r="BF28" s="50">
        <f>BE28+BD28</f>
        <v>7000409</v>
      </c>
      <c r="BG28" s="50">
        <v>92752</v>
      </c>
      <c r="BH28" s="50">
        <v>99884</v>
      </c>
      <c r="BI28" s="50">
        <f t="shared" si="55"/>
        <v>192636</v>
      </c>
      <c r="BJ28" s="50">
        <v>37830</v>
      </c>
      <c r="BK28" s="50">
        <v>80415</v>
      </c>
      <c r="BL28" s="50">
        <f t="shared" si="56"/>
        <v>118245</v>
      </c>
      <c r="BM28" s="50">
        <v>568592</v>
      </c>
      <c r="BN28" s="50">
        <v>2758511</v>
      </c>
      <c r="BO28" s="50">
        <f t="shared" si="67"/>
        <v>3327103</v>
      </c>
      <c r="BP28" s="50"/>
      <c r="BQ28" s="50">
        <v>1361244</v>
      </c>
      <c r="BR28" s="50">
        <f t="shared" si="58"/>
        <v>1361244</v>
      </c>
      <c r="BS28" s="50">
        <v>178698</v>
      </c>
      <c r="BT28" s="50">
        <v>972669</v>
      </c>
      <c r="BU28" s="50">
        <f t="shared" si="59"/>
        <v>1151367</v>
      </c>
      <c r="BV28" s="50"/>
      <c r="BW28" s="50">
        <v>6783081</v>
      </c>
      <c r="BX28" s="50">
        <f t="shared" si="60"/>
        <v>6783081</v>
      </c>
      <c r="BY28" s="50"/>
      <c r="BZ28" s="50"/>
      <c r="CA28" s="50">
        <f t="shared" si="70"/>
        <v>0</v>
      </c>
      <c r="CB28" s="50">
        <v>627371</v>
      </c>
      <c r="CC28" s="50">
        <v>907692</v>
      </c>
      <c r="CD28" s="50">
        <f t="shared" si="62"/>
        <v>1535063</v>
      </c>
      <c r="CE28" s="50">
        <v>51408</v>
      </c>
      <c r="CF28" s="50">
        <v>204650</v>
      </c>
      <c r="CG28" s="50">
        <f t="shared" si="63"/>
        <v>256058</v>
      </c>
      <c r="CH28" s="50"/>
      <c r="CI28" s="50"/>
      <c r="CJ28" s="50">
        <f t="shared" si="64"/>
        <v>0</v>
      </c>
      <c r="CK28" s="50">
        <v>235951</v>
      </c>
      <c r="CL28" s="50">
        <v>8568206</v>
      </c>
      <c r="CM28" s="50">
        <f t="shared" si="65"/>
        <v>8804157</v>
      </c>
      <c r="CN28" s="50"/>
      <c r="CO28" s="50"/>
      <c r="CP28" s="50">
        <v>8694167</v>
      </c>
      <c r="CQ28" s="50">
        <v>71643</v>
      </c>
      <c r="CR28" s="50">
        <v>1124068</v>
      </c>
      <c r="CS28" s="50">
        <f t="shared" si="68"/>
        <v>1195711</v>
      </c>
    </row>
    <row r="29" spans="1:97" ht="15" customHeight="1" x14ac:dyDescent="0.25">
      <c r="A29" s="51" t="s">
        <v>188</v>
      </c>
      <c r="B29" s="50">
        <v>12504</v>
      </c>
      <c r="C29" s="50">
        <v>50169</v>
      </c>
      <c r="D29" s="50">
        <f t="shared" si="37"/>
        <v>62673</v>
      </c>
      <c r="E29" s="50"/>
      <c r="F29" s="50">
        <v>50208</v>
      </c>
      <c r="G29" s="50">
        <f t="shared" si="38"/>
        <v>50208</v>
      </c>
      <c r="H29" s="50"/>
      <c r="I29" s="50"/>
      <c r="J29" s="50">
        <v>1925452</v>
      </c>
      <c r="K29" s="50">
        <v>2040598</v>
      </c>
      <c r="L29" s="50">
        <v>3351410</v>
      </c>
      <c r="M29" s="50">
        <f t="shared" si="39"/>
        <v>5392008</v>
      </c>
      <c r="N29" s="50"/>
      <c r="O29" s="50">
        <v>1203289</v>
      </c>
      <c r="P29" s="50">
        <f t="shared" si="40"/>
        <v>1203289</v>
      </c>
      <c r="Q29" s="50">
        <v>503976</v>
      </c>
      <c r="R29" s="50">
        <v>4295564</v>
      </c>
      <c r="S29" s="50">
        <f t="shared" si="41"/>
        <v>4799540</v>
      </c>
      <c r="T29" s="50">
        <v>1851815.37</v>
      </c>
      <c r="U29" s="50">
        <v>2454732</v>
      </c>
      <c r="V29" s="50">
        <f t="shared" si="42"/>
        <v>4306547.37</v>
      </c>
      <c r="W29" s="50"/>
      <c r="X29" s="50">
        <v>299647</v>
      </c>
      <c r="Y29" s="50">
        <f t="shared" si="43"/>
        <v>299647</v>
      </c>
      <c r="Z29" s="50">
        <v>141335</v>
      </c>
      <c r="AA29" s="50">
        <v>577621</v>
      </c>
      <c r="AB29" s="50">
        <f t="shared" si="44"/>
        <v>718956</v>
      </c>
      <c r="AC29" s="50">
        <v>394742</v>
      </c>
      <c r="AD29" s="50">
        <v>1027714</v>
      </c>
      <c r="AE29" s="50">
        <f t="shared" si="45"/>
        <v>1422456</v>
      </c>
      <c r="AF29" s="50">
        <v>532534</v>
      </c>
      <c r="AG29" s="50">
        <v>2468922</v>
      </c>
      <c r="AH29" s="50">
        <f t="shared" si="46"/>
        <v>3001456</v>
      </c>
      <c r="AI29" s="50">
        <v>2058412</v>
      </c>
      <c r="AJ29" s="50">
        <v>6532900</v>
      </c>
      <c r="AK29" s="50">
        <f t="shared" si="47"/>
        <v>8591312</v>
      </c>
      <c r="AL29" s="50">
        <v>675705</v>
      </c>
      <c r="AM29" s="50">
        <v>2629738</v>
      </c>
      <c r="AN29" s="50">
        <f t="shared" si="48"/>
        <v>3305443</v>
      </c>
      <c r="AO29" s="50">
        <v>144573</v>
      </c>
      <c r="AP29" s="50">
        <v>558269</v>
      </c>
      <c r="AQ29" s="50">
        <f t="shared" si="49"/>
        <v>702842</v>
      </c>
      <c r="AR29" s="50">
        <v>248541</v>
      </c>
      <c r="AS29" s="50">
        <v>704089</v>
      </c>
      <c r="AT29" s="50">
        <f t="shared" si="50"/>
        <v>952630</v>
      </c>
      <c r="AU29" s="50">
        <v>95070</v>
      </c>
      <c r="AV29" s="50">
        <v>704386</v>
      </c>
      <c r="AW29" s="50">
        <f t="shared" si="51"/>
        <v>799456</v>
      </c>
      <c r="AX29" s="50">
        <v>303047</v>
      </c>
      <c r="AY29" s="50">
        <v>100108</v>
      </c>
      <c r="AZ29" s="50">
        <f t="shared" si="52"/>
        <v>403155</v>
      </c>
      <c r="BA29" s="50">
        <v>199868</v>
      </c>
      <c r="BB29" s="50">
        <v>503216</v>
      </c>
      <c r="BC29" s="50">
        <f t="shared" si="53"/>
        <v>703084</v>
      </c>
      <c r="BD29" s="50">
        <v>113914</v>
      </c>
      <c r="BE29" s="50">
        <v>4890880</v>
      </c>
      <c r="BF29" s="50">
        <f t="shared" si="54"/>
        <v>5004794</v>
      </c>
      <c r="BG29" s="50"/>
      <c r="BH29" s="50">
        <v>49939</v>
      </c>
      <c r="BI29" s="50">
        <f t="shared" si="55"/>
        <v>49939</v>
      </c>
      <c r="BJ29" s="50">
        <v>144764</v>
      </c>
      <c r="BK29" s="50">
        <v>307725</v>
      </c>
      <c r="BL29" s="50">
        <f t="shared" si="56"/>
        <v>452489</v>
      </c>
      <c r="BM29" s="50">
        <v>1216711</v>
      </c>
      <c r="BN29" s="50">
        <v>5902842</v>
      </c>
      <c r="BO29" s="50">
        <f t="shared" si="67"/>
        <v>7119553</v>
      </c>
      <c r="BP29" s="50">
        <v>349667</v>
      </c>
      <c r="BQ29" s="50">
        <v>635407</v>
      </c>
      <c r="BR29" s="50">
        <f t="shared" si="58"/>
        <v>985074</v>
      </c>
      <c r="BS29" s="50">
        <v>749781</v>
      </c>
      <c r="BT29" s="50">
        <v>4081111</v>
      </c>
      <c r="BU29" s="50">
        <f t="shared" si="59"/>
        <v>4830892</v>
      </c>
      <c r="BV29" s="50">
        <v>303855</v>
      </c>
      <c r="BW29" s="50">
        <v>1673031</v>
      </c>
      <c r="BX29" s="50">
        <f t="shared" si="60"/>
        <v>1976886</v>
      </c>
      <c r="BY29" s="50"/>
      <c r="BZ29" s="50"/>
      <c r="CA29" s="50">
        <f t="shared" si="70"/>
        <v>0</v>
      </c>
      <c r="CB29" s="50"/>
      <c r="CC29" s="50"/>
      <c r="CD29" s="50">
        <f t="shared" si="62"/>
        <v>0</v>
      </c>
      <c r="CE29" s="50">
        <v>978592</v>
      </c>
      <c r="CF29" s="50">
        <v>3895656</v>
      </c>
      <c r="CG29" s="50">
        <f t="shared" si="63"/>
        <v>4874248</v>
      </c>
      <c r="CH29" s="50">
        <v>1426409</v>
      </c>
      <c r="CI29" s="50">
        <v>3191706</v>
      </c>
      <c r="CJ29" s="50">
        <f t="shared" si="64"/>
        <v>4618115</v>
      </c>
      <c r="CK29" s="50">
        <v>21684</v>
      </c>
      <c r="CL29" s="50">
        <v>787406</v>
      </c>
      <c r="CM29" s="50">
        <f t="shared" si="65"/>
        <v>809090</v>
      </c>
      <c r="CN29" s="50"/>
      <c r="CO29" s="50"/>
      <c r="CP29" s="50">
        <v>2955926</v>
      </c>
      <c r="CQ29" s="50">
        <v>187193</v>
      </c>
      <c r="CR29" s="50">
        <v>2937038</v>
      </c>
      <c r="CS29" s="50">
        <f t="shared" si="68"/>
        <v>3124231</v>
      </c>
    </row>
    <row r="30" spans="1:97" ht="15" customHeight="1" x14ac:dyDescent="0.25">
      <c r="A30" s="51" t="s">
        <v>198</v>
      </c>
      <c r="B30" s="50"/>
      <c r="C30" s="50"/>
      <c r="D30" s="50">
        <f t="shared" si="37"/>
        <v>0</v>
      </c>
      <c r="E30" s="50"/>
      <c r="F30" s="50"/>
      <c r="G30" s="50">
        <f t="shared" si="38"/>
        <v>0</v>
      </c>
      <c r="H30" s="50"/>
      <c r="I30" s="50"/>
      <c r="J30" s="50">
        <f t="shared" si="69"/>
        <v>0</v>
      </c>
      <c r="K30" s="50"/>
      <c r="L30" s="50"/>
      <c r="M30" s="50">
        <f t="shared" si="39"/>
        <v>0</v>
      </c>
      <c r="N30" s="50"/>
      <c r="O30" s="50"/>
      <c r="P30" s="50">
        <f t="shared" si="40"/>
        <v>0</v>
      </c>
      <c r="Q30" s="50"/>
      <c r="R30" s="50"/>
      <c r="S30" s="50">
        <f t="shared" si="41"/>
        <v>0</v>
      </c>
      <c r="T30" s="50"/>
      <c r="U30" s="50"/>
      <c r="V30" s="50">
        <f t="shared" si="42"/>
        <v>0</v>
      </c>
      <c r="W30" s="50"/>
      <c r="X30" s="50"/>
      <c r="Y30" s="50">
        <f t="shared" si="43"/>
        <v>0</v>
      </c>
      <c r="Z30" s="50"/>
      <c r="AA30" s="50"/>
      <c r="AB30" s="50">
        <f t="shared" si="44"/>
        <v>0</v>
      </c>
      <c r="AC30" s="50"/>
      <c r="AD30" s="50"/>
      <c r="AE30" s="50">
        <f t="shared" si="45"/>
        <v>0</v>
      </c>
      <c r="AF30" s="50"/>
      <c r="AG30" s="50"/>
      <c r="AH30" s="50">
        <f t="shared" si="46"/>
        <v>0</v>
      </c>
      <c r="AI30" s="50"/>
      <c r="AJ30" s="50"/>
      <c r="AK30" s="50">
        <f t="shared" si="47"/>
        <v>0</v>
      </c>
      <c r="AL30" s="50">
        <v>153436</v>
      </c>
      <c r="AM30" s="50">
        <v>597150</v>
      </c>
      <c r="AN30" s="50">
        <f t="shared" si="48"/>
        <v>750586</v>
      </c>
      <c r="AO30" s="50"/>
      <c r="AP30" s="50"/>
      <c r="AQ30" s="50">
        <f t="shared" si="49"/>
        <v>0</v>
      </c>
      <c r="AR30" s="50"/>
      <c r="AS30" s="50"/>
      <c r="AT30" s="50">
        <f t="shared" si="50"/>
        <v>0</v>
      </c>
      <c r="AU30" s="50"/>
      <c r="AV30" s="50"/>
      <c r="AW30" s="50">
        <f t="shared" si="51"/>
        <v>0</v>
      </c>
      <c r="AX30" s="50"/>
      <c r="AY30" s="50"/>
      <c r="AZ30" s="50">
        <f t="shared" si="52"/>
        <v>0</v>
      </c>
      <c r="BA30" s="50"/>
      <c r="BB30" s="50"/>
      <c r="BC30" s="50">
        <f t="shared" si="53"/>
        <v>0</v>
      </c>
      <c r="BD30" s="50"/>
      <c r="BE30" s="50"/>
      <c r="BF30" s="50">
        <f t="shared" si="54"/>
        <v>0</v>
      </c>
      <c r="BG30" s="50"/>
      <c r="BH30" s="50"/>
      <c r="BI30" s="50">
        <f t="shared" si="55"/>
        <v>0</v>
      </c>
      <c r="BJ30" s="50"/>
      <c r="BK30" s="50"/>
      <c r="BL30" s="50">
        <f t="shared" si="56"/>
        <v>0</v>
      </c>
      <c r="BM30" s="50"/>
      <c r="BN30" s="50"/>
      <c r="BO30" s="50">
        <f t="shared" si="67"/>
        <v>0</v>
      </c>
      <c r="BP30" s="50"/>
      <c r="BQ30" s="50"/>
      <c r="BR30" s="50">
        <f t="shared" si="58"/>
        <v>0</v>
      </c>
      <c r="BS30" s="50"/>
      <c r="BT30" s="50"/>
      <c r="BU30" s="50">
        <f t="shared" si="59"/>
        <v>0</v>
      </c>
      <c r="BV30" s="50"/>
      <c r="BW30" s="50"/>
      <c r="BX30" s="50">
        <f t="shared" si="60"/>
        <v>0</v>
      </c>
      <c r="BY30" s="50"/>
      <c r="BZ30" s="50"/>
      <c r="CA30" s="50">
        <f t="shared" si="70"/>
        <v>0</v>
      </c>
      <c r="CB30" s="50"/>
      <c r="CC30" s="50"/>
      <c r="CD30" s="50">
        <f t="shared" si="62"/>
        <v>0</v>
      </c>
      <c r="CE30" s="50"/>
      <c r="CF30" s="50"/>
      <c r="CG30" s="50">
        <f t="shared" si="63"/>
        <v>0</v>
      </c>
      <c r="CH30" s="50"/>
      <c r="CI30" s="50"/>
      <c r="CJ30" s="50">
        <f t="shared" si="64"/>
        <v>0</v>
      </c>
      <c r="CK30" s="50"/>
      <c r="CL30" s="50"/>
      <c r="CM30" s="50">
        <f t="shared" si="65"/>
        <v>0</v>
      </c>
      <c r="CN30" s="50"/>
      <c r="CO30" s="50"/>
      <c r="CP30" s="50">
        <f t="shared" si="71"/>
        <v>0</v>
      </c>
      <c r="CQ30" s="50"/>
      <c r="CR30" s="50"/>
      <c r="CS30" s="50">
        <f t="shared" si="68"/>
        <v>0</v>
      </c>
    </row>
    <row r="31" spans="1:97" ht="15" customHeight="1" x14ac:dyDescent="0.25">
      <c r="A31" s="51" t="s">
        <v>199</v>
      </c>
      <c r="B31" s="50">
        <v>58402</v>
      </c>
      <c r="C31" s="50">
        <v>234328</v>
      </c>
      <c r="D31" s="50">
        <f t="shared" si="37"/>
        <v>292730</v>
      </c>
      <c r="E31" s="50"/>
      <c r="F31" s="50"/>
      <c r="G31" s="50">
        <f t="shared" si="38"/>
        <v>0</v>
      </c>
      <c r="H31" s="50"/>
      <c r="I31" s="50"/>
      <c r="J31" s="50">
        <v>19866819</v>
      </c>
      <c r="K31" s="50"/>
      <c r="L31" s="50">
        <f>5084643+454603</f>
        <v>5539246</v>
      </c>
      <c r="M31" s="50">
        <f t="shared" si="39"/>
        <v>5539246</v>
      </c>
      <c r="N31" s="50"/>
      <c r="O31" s="50"/>
      <c r="P31" s="50">
        <f t="shared" si="40"/>
        <v>0</v>
      </c>
      <c r="Q31" s="50"/>
      <c r="R31" s="50"/>
      <c r="S31" s="50">
        <f t="shared" si="41"/>
        <v>0</v>
      </c>
      <c r="T31" s="50">
        <v>107450.4</v>
      </c>
      <c r="U31" s="50">
        <v>142434.23999999999</v>
      </c>
      <c r="V31" s="50">
        <f t="shared" si="42"/>
        <v>249884.63999999998</v>
      </c>
      <c r="W31" s="50">
        <v>78000</v>
      </c>
      <c r="X31" s="50">
        <v>175500</v>
      </c>
      <c r="Y31" s="50">
        <f t="shared" si="43"/>
        <v>253500</v>
      </c>
      <c r="Z31" s="50">
        <v>299722</v>
      </c>
      <c r="AA31" s="50">
        <v>1224931</v>
      </c>
      <c r="AB31" s="50">
        <f t="shared" si="44"/>
        <v>1524653</v>
      </c>
      <c r="AC31" s="50"/>
      <c r="AD31" s="50"/>
      <c r="AE31" s="50">
        <f t="shared" si="45"/>
        <v>0</v>
      </c>
      <c r="AF31" s="50">
        <v>654918</v>
      </c>
      <c r="AG31" s="50">
        <v>3036311</v>
      </c>
      <c r="AH31" s="50">
        <f t="shared" si="46"/>
        <v>3691229</v>
      </c>
      <c r="AI31" s="50">
        <v>585710</v>
      </c>
      <c r="AJ31" s="50">
        <v>1858901</v>
      </c>
      <c r="AK31" s="50">
        <f t="shared" si="47"/>
        <v>2444611</v>
      </c>
      <c r="AL31" s="50"/>
      <c r="AM31" s="50"/>
      <c r="AN31" s="50">
        <f t="shared" si="48"/>
        <v>0</v>
      </c>
      <c r="AO31" s="50"/>
      <c r="AP31" s="50"/>
      <c r="AQ31" s="50">
        <f t="shared" si="49"/>
        <v>0</v>
      </c>
      <c r="AR31" s="50"/>
      <c r="AS31" s="50"/>
      <c r="AT31" s="50">
        <f t="shared" si="50"/>
        <v>0</v>
      </c>
      <c r="AU31" s="50">
        <v>20632</v>
      </c>
      <c r="AV31" s="50">
        <v>152868</v>
      </c>
      <c r="AW31" s="50">
        <f t="shared" si="51"/>
        <v>173500</v>
      </c>
      <c r="AX31" s="50"/>
      <c r="AY31" s="50"/>
      <c r="AZ31" s="50">
        <f t="shared" si="52"/>
        <v>0</v>
      </c>
      <c r="BA31" s="50">
        <v>738800</v>
      </c>
      <c r="BB31" s="50">
        <v>278600</v>
      </c>
      <c r="BC31" s="50">
        <f t="shared" si="53"/>
        <v>1017400</v>
      </c>
      <c r="BD31" s="50">
        <v>253896</v>
      </c>
      <c r="BE31" s="50">
        <v>10901004</v>
      </c>
      <c r="BF31" s="50">
        <f t="shared" si="54"/>
        <v>11154900</v>
      </c>
      <c r="BG31" s="50"/>
      <c r="BH31" s="50"/>
      <c r="BI31" s="50">
        <f t="shared" si="55"/>
        <v>0</v>
      </c>
      <c r="BJ31" s="50"/>
      <c r="BK31" s="50"/>
      <c r="BL31" s="50">
        <f t="shared" si="56"/>
        <v>0</v>
      </c>
      <c r="BM31" s="50">
        <v>924770</v>
      </c>
      <c r="BN31" s="50">
        <v>4486501</v>
      </c>
      <c r="BO31" s="50">
        <f t="shared" si="67"/>
        <v>5411271</v>
      </c>
      <c r="BP31" s="50"/>
      <c r="BQ31" s="50"/>
      <c r="BR31" s="50">
        <f t="shared" si="58"/>
        <v>0</v>
      </c>
      <c r="BS31" s="50">
        <v>58335</v>
      </c>
      <c r="BT31" s="50">
        <v>317525</v>
      </c>
      <c r="BU31" s="50">
        <f t="shared" si="59"/>
        <v>375860</v>
      </c>
      <c r="BV31" s="50"/>
      <c r="BW31" s="50"/>
      <c r="BX31" s="50">
        <f t="shared" si="60"/>
        <v>0</v>
      </c>
      <c r="BY31" s="50"/>
      <c r="BZ31" s="50"/>
      <c r="CA31" s="50">
        <f t="shared" si="70"/>
        <v>0</v>
      </c>
      <c r="CB31" s="50">
        <v>1175171</v>
      </c>
      <c r="CC31" s="50">
        <v>1700259</v>
      </c>
      <c r="CD31" s="50">
        <f t="shared" si="62"/>
        <v>2875430</v>
      </c>
      <c r="CE31" s="50">
        <v>849341</v>
      </c>
      <c r="CF31" s="50">
        <v>3381123</v>
      </c>
      <c r="CG31" s="50">
        <f t="shared" si="63"/>
        <v>4230464</v>
      </c>
      <c r="CH31" s="50"/>
      <c r="CI31" s="50"/>
      <c r="CJ31" s="50">
        <f t="shared" si="64"/>
        <v>0</v>
      </c>
      <c r="CK31" s="50"/>
      <c r="CL31" s="50"/>
      <c r="CM31" s="50">
        <f t="shared" si="65"/>
        <v>0</v>
      </c>
      <c r="CN31" s="50"/>
      <c r="CO31" s="50"/>
      <c r="CP31" s="50">
        <f t="shared" si="71"/>
        <v>0</v>
      </c>
      <c r="CQ31" s="50">
        <v>66202</v>
      </c>
      <c r="CR31" s="50">
        <v>1038698</v>
      </c>
      <c r="CS31" s="50">
        <f t="shared" si="68"/>
        <v>1104900</v>
      </c>
    </row>
    <row r="32" spans="1:97" ht="15" customHeight="1" x14ac:dyDescent="0.25">
      <c r="A32" s="51" t="s">
        <v>200</v>
      </c>
      <c r="B32" s="50"/>
      <c r="C32" s="50"/>
      <c r="D32" s="50">
        <f t="shared" si="37"/>
        <v>0</v>
      </c>
      <c r="E32" s="50"/>
      <c r="F32" s="50"/>
      <c r="G32" s="50">
        <f t="shared" si="38"/>
        <v>0</v>
      </c>
      <c r="H32" s="50"/>
      <c r="I32" s="50"/>
      <c r="J32" s="50">
        <f t="shared" si="69"/>
        <v>0</v>
      </c>
      <c r="K32" s="50"/>
      <c r="L32" s="50">
        <v>490000</v>
      </c>
      <c r="M32" s="50">
        <f t="shared" si="39"/>
        <v>490000</v>
      </c>
      <c r="N32" s="50"/>
      <c r="O32" s="50"/>
      <c r="P32" s="50">
        <f t="shared" si="40"/>
        <v>0</v>
      </c>
      <c r="Q32" s="50">
        <v>877034</v>
      </c>
      <c r="R32" s="50">
        <v>7475266</v>
      </c>
      <c r="S32" s="50">
        <f t="shared" si="41"/>
        <v>8352300</v>
      </c>
      <c r="T32" s="50"/>
      <c r="U32" s="50"/>
      <c r="V32" s="50">
        <f t="shared" si="42"/>
        <v>0</v>
      </c>
      <c r="W32" s="50"/>
      <c r="X32" s="50"/>
      <c r="Y32" s="50">
        <f t="shared" si="43"/>
        <v>0</v>
      </c>
      <c r="Z32" s="50"/>
      <c r="AA32" s="50"/>
      <c r="AB32" s="50">
        <f t="shared" si="44"/>
        <v>0</v>
      </c>
      <c r="AC32" s="50"/>
      <c r="AD32" s="50"/>
      <c r="AE32" s="50">
        <f t="shared" si="45"/>
        <v>0</v>
      </c>
      <c r="AF32" s="50"/>
      <c r="AG32" s="50"/>
      <c r="AH32" s="50">
        <f t="shared" si="46"/>
        <v>0</v>
      </c>
      <c r="AI32" s="50"/>
      <c r="AJ32" s="50"/>
      <c r="AK32" s="50">
        <f t="shared" si="47"/>
        <v>0</v>
      </c>
      <c r="AL32" s="50"/>
      <c r="AM32" s="50"/>
      <c r="AN32" s="50">
        <f t="shared" si="48"/>
        <v>0</v>
      </c>
      <c r="AO32" s="50"/>
      <c r="AP32" s="50"/>
      <c r="AQ32" s="50">
        <f t="shared" si="49"/>
        <v>0</v>
      </c>
      <c r="AR32" s="50"/>
      <c r="AS32" s="50"/>
      <c r="AT32" s="50">
        <f t="shared" si="50"/>
        <v>0</v>
      </c>
      <c r="AU32" s="50"/>
      <c r="AV32" s="50"/>
      <c r="AW32" s="50">
        <f t="shared" si="51"/>
        <v>0</v>
      </c>
      <c r="AX32" s="50"/>
      <c r="AY32" s="50"/>
      <c r="AZ32" s="50">
        <f t="shared" si="52"/>
        <v>0</v>
      </c>
      <c r="BA32" s="50"/>
      <c r="BB32" s="50"/>
      <c r="BC32" s="50">
        <f t="shared" si="53"/>
        <v>0</v>
      </c>
      <c r="BD32" s="50"/>
      <c r="BE32" s="50"/>
      <c r="BF32" s="50">
        <f>BE32+BD32</f>
        <v>0</v>
      </c>
      <c r="BG32" s="50">
        <v>211500</v>
      </c>
      <c r="BH32" s="50">
        <v>387400</v>
      </c>
      <c r="BI32" s="50">
        <f t="shared" si="55"/>
        <v>598900</v>
      </c>
      <c r="BJ32" s="50">
        <v>161138</v>
      </c>
      <c r="BK32" s="50">
        <v>307672</v>
      </c>
      <c r="BL32" s="50">
        <f t="shared" si="56"/>
        <v>468810</v>
      </c>
      <c r="BM32" s="50"/>
      <c r="BN32" s="50"/>
      <c r="BO32" s="50">
        <f t="shared" si="67"/>
        <v>0</v>
      </c>
      <c r="BP32" s="50"/>
      <c r="BQ32" s="50"/>
      <c r="BR32" s="50">
        <f t="shared" si="58"/>
        <v>0</v>
      </c>
      <c r="BS32" s="50"/>
      <c r="BT32" s="50"/>
      <c r="BU32" s="50">
        <f t="shared" si="59"/>
        <v>0</v>
      </c>
      <c r="BV32" s="50"/>
      <c r="BW32" s="50"/>
      <c r="BX32" s="50">
        <f t="shared" si="60"/>
        <v>0</v>
      </c>
      <c r="BY32" s="50"/>
      <c r="BZ32" s="50"/>
      <c r="CA32" s="50">
        <f t="shared" si="70"/>
        <v>0</v>
      </c>
      <c r="CB32" s="50"/>
      <c r="CC32" s="50"/>
      <c r="CD32" s="50">
        <f t="shared" si="62"/>
        <v>0</v>
      </c>
      <c r="CE32" s="50"/>
      <c r="CF32" s="50"/>
      <c r="CG32" s="50">
        <f t="shared" si="63"/>
        <v>0</v>
      </c>
      <c r="CH32" s="50"/>
      <c r="CI32" s="50"/>
      <c r="CJ32" s="50">
        <f t="shared" si="64"/>
        <v>0</v>
      </c>
      <c r="CK32" s="50"/>
      <c r="CL32" s="50"/>
      <c r="CM32" s="50">
        <f t="shared" si="65"/>
        <v>0</v>
      </c>
      <c r="CN32" s="50"/>
      <c r="CO32" s="50"/>
      <c r="CP32" s="50">
        <f t="shared" si="71"/>
        <v>0</v>
      </c>
      <c r="CQ32" s="50"/>
      <c r="CR32" s="50"/>
      <c r="CS32" s="50">
        <f t="shared" si="68"/>
        <v>0</v>
      </c>
    </row>
    <row r="33" spans="1:97" ht="15" customHeight="1" x14ac:dyDescent="0.25">
      <c r="A33" s="51" t="s">
        <v>201</v>
      </c>
      <c r="B33" s="50"/>
      <c r="C33" s="50"/>
      <c r="D33" s="50">
        <f t="shared" si="37"/>
        <v>0</v>
      </c>
      <c r="E33" s="50"/>
      <c r="F33" s="50"/>
      <c r="G33" s="50">
        <f t="shared" si="38"/>
        <v>0</v>
      </c>
      <c r="H33" s="50"/>
      <c r="I33" s="50"/>
      <c r="J33" s="50">
        <f t="shared" si="69"/>
        <v>0</v>
      </c>
      <c r="K33" s="50"/>
      <c r="L33" s="50"/>
      <c r="M33" s="50">
        <f t="shared" si="39"/>
        <v>0</v>
      </c>
      <c r="N33" s="50"/>
      <c r="O33" s="50"/>
      <c r="P33" s="50">
        <f t="shared" si="40"/>
        <v>0</v>
      </c>
      <c r="Q33" s="50"/>
      <c r="R33" s="50"/>
      <c r="S33" s="50">
        <f t="shared" si="41"/>
        <v>0</v>
      </c>
      <c r="T33" s="50"/>
      <c r="U33" s="50"/>
      <c r="V33" s="50">
        <f t="shared" si="42"/>
        <v>0</v>
      </c>
      <c r="W33" s="50"/>
      <c r="X33" s="50"/>
      <c r="Y33" s="50">
        <f t="shared" si="43"/>
        <v>0</v>
      </c>
      <c r="Z33" s="50"/>
      <c r="AA33" s="50"/>
      <c r="AB33" s="50">
        <f t="shared" si="44"/>
        <v>0</v>
      </c>
      <c r="AC33" s="50"/>
      <c r="AD33" s="50"/>
      <c r="AE33" s="50">
        <f t="shared" si="45"/>
        <v>0</v>
      </c>
      <c r="AF33" s="50"/>
      <c r="AG33" s="50"/>
      <c r="AH33" s="50">
        <f t="shared" si="46"/>
        <v>0</v>
      </c>
      <c r="AI33" s="50"/>
      <c r="AJ33" s="50"/>
      <c r="AK33" s="50">
        <f t="shared" si="47"/>
        <v>0</v>
      </c>
      <c r="AL33" s="50"/>
      <c r="AM33" s="50"/>
      <c r="AN33" s="50">
        <f t="shared" si="48"/>
        <v>0</v>
      </c>
      <c r="AO33" s="50"/>
      <c r="AP33" s="50"/>
      <c r="AQ33" s="50">
        <f t="shared" si="49"/>
        <v>0</v>
      </c>
      <c r="AR33" s="50"/>
      <c r="AS33" s="50"/>
      <c r="AT33" s="50">
        <f t="shared" si="50"/>
        <v>0</v>
      </c>
      <c r="AU33" s="50"/>
      <c r="AV33" s="50"/>
      <c r="AW33" s="50">
        <f t="shared" si="51"/>
        <v>0</v>
      </c>
      <c r="AX33" s="50"/>
      <c r="AY33" s="50"/>
      <c r="AZ33" s="50">
        <f t="shared" si="52"/>
        <v>0</v>
      </c>
      <c r="BA33" s="50"/>
      <c r="BB33" s="50"/>
      <c r="BC33" s="50">
        <f t="shared" si="53"/>
        <v>0</v>
      </c>
      <c r="BD33" s="50"/>
      <c r="BE33" s="50"/>
      <c r="BF33" s="50">
        <f t="shared" si="54"/>
        <v>0</v>
      </c>
      <c r="BG33" s="50"/>
      <c r="BH33" s="50"/>
      <c r="BI33" s="50">
        <f t="shared" si="55"/>
        <v>0</v>
      </c>
      <c r="BJ33" s="50"/>
      <c r="BK33" s="50"/>
      <c r="BL33" s="50">
        <f t="shared" si="56"/>
        <v>0</v>
      </c>
      <c r="BM33" s="50"/>
      <c r="BN33" s="50"/>
      <c r="BO33" s="50">
        <f t="shared" si="67"/>
        <v>0</v>
      </c>
      <c r="BP33" s="50"/>
      <c r="BQ33" s="50"/>
      <c r="BR33" s="50">
        <f t="shared" si="58"/>
        <v>0</v>
      </c>
      <c r="BS33" s="50"/>
      <c r="BT33" s="50"/>
      <c r="BU33" s="50">
        <f t="shared" si="59"/>
        <v>0</v>
      </c>
      <c r="BV33" s="50"/>
      <c r="BW33" s="50"/>
      <c r="BX33" s="50">
        <f t="shared" si="60"/>
        <v>0</v>
      </c>
      <c r="BY33" s="50"/>
      <c r="BZ33" s="50"/>
      <c r="CA33" s="50">
        <f t="shared" si="70"/>
        <v>0</v>
      </c>
      <c r="CB33" s="50"/>
      <c r="CC33" s="50"/>
      <c r="CD33" s="50">
        <f t="shared" si="62"/>
        <v>0</v>
      </c>
      <c r="CE33" s="50"/>
      <c r="CF33" s="50"/>
      <c r="CG33" s="50">
        <f t="shared" si="63"/>
        <v>0</v>
      </c>
      <c r="CH33" s="50"/>
      <c r="CI33" s="50"/>
      <c r="CJ33" s="50">
        <f t="shared" si="64"/>
        <v>0</v>
      </c>
      <c r="CK33" s="50"/>
      <c r="CL33" s="50"/>
      <c r="CM33" s="50">
        <f t="shared" si="65"/>
        <v>0</v>
      </c>
      <c r="CN33" s="50"/>
      <c r="CO33" s="50"/>
      <c r="CP33" s="50">
        <f t="shared" si="71"/>
        <v>0</v>
      </c>
      <c r="CQ33" s="50"/>
      <c r="CR33" s="50"/>
      <c r="CS33" s="50">
        <f t="shared" si="68"/>
        <v>0</v>
      </c>
    </row>
    <row r="34" spans="1:97" ht="15" customHeight="1" x14ac:dyDescent="0.25">
      <c r="A34" s="51" t="s">
        <v>292</v>
      </c>
      <c r="B34" s="50"/>
      <c r="C34" s="50"/>
      <c r="D34" s="50"/>
      <c r="E34" s="50"/>
      <c r="F34" s="50"/>
      <c r="G34" s="50"/>
      <c r="H34" s="50"/>
      <c r="I34" s="50"/>
      <c r="J34" s="50">
        <f t="shared" si="69"/>
        <v>0</v>
      </c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>
        <v>51314</v>
      </c>
      <c r="Y34" s="50">
        <f t="shared" si="43"/>
        <v>51314</v>
      </c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>
        <f t="shared" si="70"/>
        <v>0</v>
      </c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>
        <f t="shared" si="65"/>
        <v>0</v>
      </c>
      <c r="CN34" s="50"/>
      <c r="CO34" s="50"/>
      <c r="CP34" s="50"/>
      <c r="CQ34" s="50"/>
      <c r="CR34" s="50"/>
      <c r="CS34" s="50">
        <f t="shared" si="68"/>
        <v>0</v>
      </c>
    </row>
    <row r="35" spans="1:97" ht="15" customHeight="1" x14ac:dyDescent="0.25">
      <c r="A35" s="51" t="s">
        <v>193</v>
      </c>
      <c r="B35" s="50"/>
      <c r="C35" s="50"/>
      <c r="D35" s="50">
        <f t="shared" si="37"/>
        <v>0</v>
      </c>
      <c r="E35" s="50"/>
      <c r="F35" s="50">
        <v>200648</v>
      </c>
      <c r="G35" s="50">
        <f t="shared" si="38"/>
        <v>200648</v>
      </c>
      <c r="H35" s="50"/>
      <c r="I35" s="50"/>
      <c r="J35" s="50">
        <v>2089489</v>
      </c>
      <c r="K35" s="50">
        <v>3442057</v>
      </c>
      <c r="L35" s="50">
        <v>8982499</v>
      </c>
      <c r="M35" s="50">
        <f t="shared" si="39"/>
        <v>12424556</v>
      </c>
      <c r="N35" s="50"/>
      <c r="O35" s="50">
        <v>3442310</v>
      </c>
      <c r="P35" s="50">
        <f t="shared" si="40"/>
        <v>3442310</v>
      </c>
      <c r="Q35" s="50">
        <v>183642</v>
      </c>
      <c r="R35" s="50">
        <v>1565249</v>
      </c>
      <c r="S35" s="50">
        <f t="shared" si="41"/>
        <v>1748891</v>
      </c>
      <c r="T35" s="50">
        <v>524459.41</v>
      </c>
      <c r="U35" s="50">
        <v>695213.63</v>
      </c>
      <c r="V35" s="50">
        <f t="shared" si="42"/>
        <v>1219673.04</v>
      </c>
      <c r="W35" s="50">
        <v>48624</v>
      </c>
      <c r="X35" s="50">
        <v>62814</v>
      </c>
      <c r="Y35" s="50">
        <f t="shared" si="43"/>
        <v>111438</v>
      </c>
      <c r="Z35" s="50">
        <v>148257</v>
      </c>
      <c r="AA35" s="50">
        <v>605908</v>
      </c>
      <c r="AB35" s="50">
        <f t="shared" si="44"/>
        <v>754165</v>
      </c>
      <c r="AC35" s="50">
        <v>4072985</v>
      </c>
      <c r="AD35" s="50">
        <v>6122788</v>
      </c>
      <c r="AE35" s="50">
        <f t="shared" si="45"/>
        <v>10195773</v>
      </c>
      <c r="AF35" s="50">
        <v>806079</v>
      </c>
      <c r="AG35" s="50">
        <v>3737126</v>
      </c>
      <c r="AH35" s="50">
        <f t="shared" si="46"/>
        <v>4543205</v>
      </c>
      <c r="AI35" s="50">
        <v>1010326</v>
      </c>
      <c r="AJ35" s="50">
        <v>3206532</v>
      </c>
      <c r="AK35" s="50">
        <f t="shared" si="47"/>
        <v>4216858</v>
      </c>
      <c r="AL35" s="50">
        <v>490347</v>
      </c>
      <c r="AM35" s="50">
        <v>1908355</v>
      </c>
      <c r="AN35" s="50">
        <f t="shared" si="48"/>
        <v>2398702</v>
      </c>
      <c r="AO35" s="50">
        <v>35015</v>
      </c>
      <c r="AP35" s="50">
        <v>135209</v>
      </c>
      <c r="AQ35" s="50">
        <f t="shared" si="49"/>
        <v>170224</v>
      </c>
      <c r="AR35" s="50">
        <v>351370</v>
      </c>
      <c r="AS35" s="50">
        <v>995391</v>
      </c>
      <c r="AT35" s="50">
        <f t="shared" si="50"/>
        <v>1346761</v>
      </c>
      <c r="AU35" s="50"/>
      <c r="AV35" s="50"/>
      <c r="AW35" s="50">
        <f t="shared" si="51"/>
        <v>0</v>
      </c>
      <c r="AX35" s="50">
        <v>300306</v>
      </c>
      <c r="AY35" s="50">
        <v>150006</v>
      </c>
      <c r="AZ35" s="50">
        <f t="shared" si="52"/>
        <v>450312</v>
      </c>
      <c r="BA35" s="50"/>
      <c r="BB35" s="50">
        <v>653504</v>
      </c>
      <c r="BC35" s="50">
        <f t="shared" si="53"/>
        <v>653504</v>
      </c>
      <c r="BD35" s="50">
        <v>70425</v>
      </c>
      <c r="BE35" s="50">
        <v>3023700</v>
      </c>
      <c r="BF35" s="50">
        <f t="shared" si="54"/>
        <v>3094125</v>
      </c>
      <c r="BG35" s="50"/>
      <c r="BH35" s="50"/>
      <c r="BI35" s="50">
        <f t="shared" si="55"/>
        <v>0</v>
      </c>
      <c r="BJ35" s="50">
        <v>192549</v>
      </c>
      <c r="BK35" s="50">
        <v>409304</v>
      </c>
      <c r="BL35" s="50">
        <f t="shared" si="56"/>
        <v>601853</v>
      </c>
      <c r="BM35" s="50">
        <v>169309</v>
      </c>
      <c r="BN35" s="50">
        <v>821396</v>
      </c>
      <c r="BO35" s="50">
        <f t="shared" si="67"/>
        <v>990705</v>
      </c>
      <c r="BP35" s="50">
        <v>50000</v>
      </c>
      <c r="BQ35" s="50">
        <v>1547173</v>
      </c>
      <c r="BR35" s="50">
        <f t="shared" si="58"/>
        <v>1597173</v>
      </c>
      <c r="BS35" s="50">
        <v>186052</v>
      </c>
      <c r="BT35" s="50">
        <v>1012693</v>
      </c>
      <c r="BU35" s="50">
        <f t="shared" si="59"/>
        <v>1198745</v>
      </c>
      <c r="BV35" s="50"/>
      <c r="BW35" s="50">
        <v>550000</v>
      </c>
      <c r="BX35" s="50">
        <f t="shared" si="60"/>
        <v>550000</v>
      </c>
      <c r="BY35" s="50"/>
      <c r="BZ35" s="50">
        <v>1061957</v>
      </c>
      <c r="CA35" s="50">
        <f t="shared" si="70"/>
        <v>1061957</v>
      </c>
      <c r="CB35" s="50">
        <v>334525</v>
      </c>
      <c r="CC35" s="50">
        <v>483997</v>
      </c>
      <c r="CD35" s="50">
        <f t="shared" si="62"/>
        <v>818522</v>
      </c>
      <c r="CE35" s="50">
        <v>20183</v>
      </c>
      <c r="CF35" s="50">
        <v>80345</v>
      </c>
      <c r="CG35" s="50">
        <f t="shared" si="63"/>
        <v>100528</v>
      </c>
      <c r="CH35" s="50">
        <v>1745660</v>
      </c>
      <c r="CI35" s="50">
        <v>3906058</v>
      </c>
      <c r="CJ35" s="50">
        <f t="shared" si="64"/>
        <v>5651718</v>
      </c>
      <c r="CK35" s="50">
        <v>96616</v>
      </c>
      <c r="CL35" s="50">
        <v>3508472</v>
      </c>
      <c r="CM35" s="50">
        <f t="shared" si="65"/>
        <v>3605088</v>
      </c>
      <c r="CN35" s="50"/>
      <c r="CO35" s="50"/>
      <c r="CP35" s="50">
        <v>7516336</v>
      </c>
      <c r="CQ35" s="50">
        <v>113948</v>
      </c>
      <c r="CR35" s="50">
        <v>1787824</v>
      </c>
      <c r="CS35" s="50">
        <f t="shared" si="68"/>
        <v>1901772</v>
      </c>
    </row>
    <row r="36" spans="1:97" x14ac:dyDescent="0.25">
      <c r="A36" s="51" t="s">
        <v>194</v>
      </c>
      <c r="B36" s="50">
        <v>24289</v>
      </c>
      <c r="C36" s="50">
        <v>97457</v>
      </c>
      <c r="D36" s="50">
        <f t="shared" si="37"/>
        <v>121746</v>
      </c>
      <c r="E36" s="50"/>
      <c r="F36" s="50">
        <v>99675</v>
      </c>
      <c r="G36" s="50">
        <f t="shared" si="38"/>
        <v>99675</v>
      </c>
      <c r="H36" s="50"/>
      <c r="I36" s="50"/>
      <c r="J36" s="50">
        <v>100000</v>
      </c>
      <c r="K36" s="50"/>
      <c r="L36" s="50"/>
      <c r="M36" s="50">
        <f t="shared" si="39"/>
        <v>0</v>
      </c>
      <c r="N36" s="50"/>
      <c r="O36" s="50">
        <f>-293265+1005480</f>
        <v>712215</v>
      </c>
      <c r="P36" s="50">
        <f t="shared" si="40"/>
        <v>712215</v>
      </c>
      <c r="Q36" s="50">
        <v>26432</v>
      </c>
      <c r="R36" s="50">
        <v>225289</v>
      </c>
      <c r="S36" s="50">
        <f t="shared" si="41"/>
        <v>251721</v>
      </c>
      <c r="T36" s="50">
        <v>365878.4</v>
      </c>
      <c r="U36" s="50">
        <v>485001.6</v>
      </c>
      <c r="V36" s="50">
        <f t="shared" si="42"/>
        <v>850880</v>
      </c>
      <c r="W36" s="50">
        <v>37865</v>
      </c>
      <c r="X36" s="50">
        <v>107477</v>
      </c>
      <c r="Y36" s="50">
        <f t="shared" si="43"/>
        <v>145342</v>
      </c>
      <c r="Z36" s="50">
        <f>-15135+81471</f>
        <v>66336</v>
      </c>
      <c r="AA36" s="50">
        <f>-61854+332962</f>
        <v>271108</v>
      </c>
      <c r="AB36" s="50">
        <f t="shared" si="44"/>
        <v>337444</v>
      </c>
      <c r="AC36" s="50"/>
      <c r="AD36" s="50"/>
      <c r="AE36" s="50">
        <f t="shared" si="45"/>
        <v>0</v>
      </c>
      <c r="AF36" s="50"/>
      <c r="AG36" s="50"/>
      <c r="AH36" s="50">
        <f t="shared" si="46"/>
        <v>0</v>
      </c>
      <c r="AI36" s="50"/>
      <c r="AJ36" s="50"/>
      <c r="AK36" s="50">
        <f t="shared" si="47"/>
        <v>0</v>
      </c>
      <c r="AL36" s="50">
        <f>51105-30970</f>
        <v>20135</v>
      </c>
      <c r="AM36" s="50">
        <f>198895-120530</f>
        <v>78365</v>
      </c>
      <c r="AN36" s="50">
        <f t="shared" si="48"/>
        <v>98500</v>
      </c>
      <c r="AO36" s="50"/>
      <c r="AP36" s="50"/>
      <c r="AQ36" s="50">
        <f t="shared" si="49"/>
        <v>0</v>
      </c>
      <c r="AR36" s="50"/>
      <c r="AS36" s="50"/>
      <c r="AT36" s="50">
        <f t="shared" si="50"/>
        <v>0</v>
      </c>
      <c r="AU36" s="50">
        <v>8971</v>
      </c>
      <c r="AV36" s="50">
        <v>66466</v>
      </c>
      <c r="AW36" s="50">
        <f t="shared" si="51"/>
        <v>75437</v>
      </c>
      <c r="AX36" s="50">
        <v>1305</v>
      </c>
      <c r="AY36" s="50">
        <v>14403</v>
      </c>
      <c r="AZ36" s="50">
        <f t="shared" si="52"/>
        <v>15708</v>
      </c>
      <c r="BA36" s="50"/>
      <c r="BB36" s="50"/>
      <c r="BC36" s="50">
        <f t="shared" si="53"/>
        <v>0</v>
      </c>
      <c r="BD36" s="50"/>
      <c r="BE36" s="50"/>
      <c r="BF36" s="50">
        <f t="shared" si="54"/>
        <v>0</v>
      </c>
      <c r="BG36" s="50"/>
      <c r="BH36" s="50">
        <v>14879</v>
      </c>
      <c r="BI36" s="50">
        <f t="shared" si="55"/>
        <v>14879</v>
      </c>
      <c r="BJ36" s="50"/>
      <c r="BK36" s="50"/>
      <c r="BL36" s="50">
        <f t="shared" si="56"/>
        <v>0</v>
      </c>
      <c r="BM36" s="50">
        <f>478739-68273</f>
        <v>410466</v>
      </c>
      <c r="BN36" s="50">
        <f>2322600-331224</f>
        <v>1991376</v>
      </c>
      <c r="BO36" s="50">
        <f t="shared" si="67"/>
        <v>2401842</v>
      </c>
      <c r="BP36" s="50"/>
      <c r="BQ36" s="50"/>
      <c r="BR36" s="50">
        <f t="shared" si="58"/>
        <v>0</v>
      </c>
      <c r="BS36" s="50">
        <v>107072</v>
      </c>
      <c r="BT36" s="50">
        <v>582805</v>
      </c>
      <c r="BU36" s="50">
        <f t="shared" si="59"/>
        <v>689877</v>
      </c>
      <c r="BV36" s="50"/>
      <c r="BW36" s="50"/>
      <c r="BX36" s="50">
        <f t="shared" si="60"/>
        <v>0</v>
      </c>
      <c r="BY36" s="50"/>
      <c r="BZ36" s="50"/>
      <c r="CA36" s="50">
        <v>0</v>
      </c>
      <c r="CB36" s="50"/>
      <c r="CC36" s="50"/>
      <c r="CD36" s="50">
        <f t="shared" si="62"/>
        <v>0</v>
      </c>
      <c r="CE36" s="50">
        <v>980480</v>
      </c>
      <c r="CF36" s="50">
        <v>3903170</v>
      </c>
      <c r="CG36" s="50">
        <f t="shared" si="63"/>
        <v>4883650</v>
      </c>
      <c r="CH36" s="50">
        <v>6919</v>
      </c>
      <c r="CI36" s="50">
        <v>15482</v>
      </c>
      <c r="CJ36" s="50">
        <f t="shared" si="64"/>
        <v>22401</v>
      </c>
      <c r="CK36" s="50"/>
      <c r="CL36" s="50"/>
      <c r="CM36" s="50">
        <f t="shared" si="65"/>
        <v>0</v>
      </c>
      <c r="CN36" s="50"/>
      <c r="CO36" s="50"/>
      <c r="CP36" s="50">
        <v>908330</v>
      </c>
      <c r="CQ36" s="50">
        <f>447+1310</f>
        <v>1757</v>
      </c>
      <c r="CR36" s="50">
        <f>7017+20548</f>
        <v>27565</v>
      </c>
      <c r="CS36" s="50">
        <f t="shared" si="68"/>
        <v>29322</v>
      </c>
    </row>
    <row r="37" spans="1:97" s="53" customFormat="1" x14ac:dyDescent="0.25">
      <c r="A37" s="49" t="s">
        <v>197</v>
      </c>
      <c r="B37" s="52">
        <f>SUM(B22:B36)</f>
        <v>204457</v>
      </c>
      <c r="C37" s="52">
        <f t="shared" ref="C37:BK37" si="72">SUM(C22:C36)</f>
        <v>820353</v>
      </c>
      <c r="D37" s="52">
        <f t="shared" si="72"/>
        <v>1024810</v>
      </c>
      <c r="E37" s="52">
        <f t="shared" si="72"/>
        <v>247463</v>
      </c>
      <c r="F37" s="52">
        <f t="shared" si="72"/>
        <v>1847049</v>
      </c>
      <c r="G37" s="52">
        <f t="shared" si="72"/>
        <v>2094512</v>
      </c>
      <c r="H37" s="52">
        <f t="shared" si="72"/>
        <v>0</v>
      </c>
      <c r="I37" s="52">
        <f t="shared" si="72"/>
        <v>0</v>
      </c>
      <c r="J37" s="52">
        <f t="shared" si="72"/>
        <v>41760163</v>
      </c>
      <c r="K37" s="52">
        <f t="shared" si="72"/>
        <v>8646976</v>
      </c>
      <c r="L37" s="52">
        <f t="shared" si="72"/>
        <v>19965684</v>
      </c>
      <c r="M37" s="52">
        <f t="shared" si="72"/>
        <v>28612660</v>
      </c>
      <c r="N37" s="52">
        <f t="shared" si="72"/>
        <v>0</v>
      </c>
      <c r="O37" s="52">
        <f t="shared" si="72"/>
        <v>7977459</v>
      </c>
      <c r="P37" s="52">
        <f t="shared" si="72"/>
        <v>7977459</v>
      </c>
      <c r="Q37" s="52">
        <f t="shared" si="72"/>
        <v>1739714</v>
      </c>
      <c r="R37" s="52">
        <f t="shared" si="72"/>
        <v>14828196</v>
      </c>
      <c r="S37" s="52">
        <f t="shared" si="72"/>
        <v>16567910</v>
      </c>
      <c r="T37" s="52">
        <f t="shared" si="72"/>
        <v>5862391.0300000012</v>
      </c>
      <c r="U37" s="52">
        <f t="shared" si="72"/>
        <v>7771076.4499999993</v>
      </c>
      <c r="V37" s="52">
        <f t="shared" si="72"/>
        <v>13633467.48</v>
      </c>
      <c r="W37" s="52">
        <f t="shared" si="72"/>
        <v>361977</v>
      </c>
      <c r="X37" s="52">
        <f t="shared" si="72"/>
        <v>934306</v>
      </c>
      <c r="Y37" s="52">
        <f t="shared" si="72"/>
        <v>1296283</v>
      </c>
      <c r="Z37" s="52">
        <f t="shared" si="72"/>
        <v>725154</v>
      </c>
      <c r="AA37" s="52">
        <f t="shared" si="72"/>
        <v>2963623</v>
      </c>
      <c r="AB37" s="52">
        <f t="shared" si="72"/>
        <v>3688777</v>
      </c>
      <c r="AC37" s="52">
        <f t="shared" si="72"/>
        <v>4672586</v>
      </c>
      <c r="AD37" s="52">
        <f t="shared" si="72"/>
        <v>7302375</v>
      </c>
      <c r="AE37" s="52">
        <f t="shared" si="72"/>
        <v>11974961</v>
      </c>
      <c r="AF37" s="52">
        <f t="shared" si="72"/>
        <v>5356492</v>
      </c>
      <c r="AG37" s="52">
        <f t="shared" si="72"/>
        <v>24833612</v>
      </c>
      <c r="AH37" s="52">
        <f t="shared" si="72"/>
        <v>30190104</v>
      </c>
      <c r="AI37" s="52">
        <f t="shared" si="72"/>
        <v>7404661</v>
      </c>
      <c r="AJ37" s="52">
        <f t="shared" si="72"/>
        <v>22797165</v>
      </c>
      <c r="AK37" s="52">
        <f t="shared" si="72"/>
        <v>30201826</v>
      </c>
      <c r="AL37" s="52">
        <f t="shared" si="72"/>
        <v>5009299</v>
      </c>
      <c r="AM37" s="52">
        <f t="shared" si="72"/>
        <v>19495416</v>
      </c>
      <c r="AN37" s="52">
        <f t="shared" si="72"/>
        <v>24504715</v>
      </c>
      <c r="AO37" s="52">
        <f t="shared" si="72"/>
        <v>233865</v>
      </c>
      <c r="AP37" s="52">
        <f t="shared" si="72"/>
        <v>903069</v>
      </c>
      <c r="AQ37" s="52">
        <f t="shared" si="72"/>
        <v>1136934</v>
      </c>
      <c r="AR37" s="52">
        <f t="shared" si="72"/>
        <v>1092999</v>
      </c>
      <c r="AS37" s="52">
        <f t="shared" si="72"/>
        <v>3096337</v>
      </c>
      <c r="AT37" s="52">
        <f t="shared" si="72"/>
        <v>4189336</v>
      </c>
      <c r="AU37" s="52">
        <f t="shared" si="72"/>
        <v>368522</v>
      </c>
      <c r="AV37" s="52">
        <f t="shared" si="72"/>
        <v>2730442</v>
      </c>
      <c r="AW37" s="52">
        <f t="shared" si="72"/>
        <v>3098964</v>
      </c>
      <c r="AX37" s="52">
        <f t="shared" si="72"/>
        <v>817151</v>
      </c>
      <c r="AY37" s="52">
        <f t="shared" si="72"/>
        <v>1402343</v>
      </c>
      <c r="AZ37" s="52">
        <f t="shared" si="72"/>
        <v>2219494</v>
      </c>
      <c r="BA37" s="52">
        <f t="shared" si="72"/>
        <v>2328124</v>
      </c>
      <c r="BB37" s="52">
        <f t="shared" si="72"/>
        <v>2050295</v>
      </c>
      <c r="BC37" s="52">
        <f t="shared" si="72"/>
        <v>4378419</v>
      </c>
      <c r="BD37" s="52">
        <f t="shared" si="72"/>
        <v>756282</v>
      </c>
      <c r="BE37" s="52">
        <f t="shared" si="72"/>
        <v>32470878</v>
      </c>
      <c r="BF37" s="52">
        <f t="shared" si="72"/>
        <v>33227160</v>
      </c>
      <c r="BG37" s="52">
        <f t="shared" si="72"/>
        <v>304252</v>
      </c>
      <c r="BH37" s="52">
        <f t="shared" si="72"/>
        <v>552102</v>
      </c>
      <c r="BI37" s="52">
        <f t="shared" si="72"/>
        <v>856354</v>
      </c>
      <c r="BJ37" s="52">
        <f t="shared" si="72"/>
        <v>664714</v>
      </c>
      <c r="BK37" s="52">
        <f t="shared" si="72"/>
        <v>1378126</v>
      </c>
      <c r="BL37" s="52">
        <f t="shared" ref="BL37:CP37" si="73">SUM(BL22:BL36)</f>
        <v>2042840</v>
      </c>
      <c r="BM37" s="52">
        <f t="shared" si="73"/>
        <v>3661164</v>
      </c>
      <c r="BN37" s="52">
        <f t="shared" si="73"/>
        <v>17762054</v>
      </c>
      <c r="BO37" s="52">
        <f t="shared" si="73"/>
        <v>21423218</v>
      </c>
      <c r="BP37" s="52">
        <f t="shared" si="73"/>
        <v>600648</v>
      </c>
      <c r="BQ37" s="52">
        <f t="shared" si="73"/>
        <v>3694091</v>
      </c>
      <c r="BR37" s="52">
        <f t="shared" si="73"/>
        <v>4294739</v>
      </c>
      <c r="BS37" s="52">
        <f t="shared" si="73"/>
        <v>1917688</v>
      </c>
      <c r="BT37" s="52">
        <f t="shared" si="73"/>
        <v>10438116</v>
      </c>
      <c r="BU37" s="52">
        <f t="shared" si="73"/>
        <v>12355804</v>
      </c>
      <c r="BV37" s="52">
        <f t="shared" ref="BV37:BX37" si="74">SUM(BV22:BV36)</f>
        <v>303855</v>
      </c>
      <c r="BW37" s="52">
        <f t="shared" si="74"/>
        <v>9006112</v>
      </c>
      <c r="BX37" s="52">
        <f t="shared" si="74"/>
        <v>9309967</v>
      </c>
      <c r="BY37" s="52">
        <f t="shared" si="73"/>
        <v>99635</v>
      </c>
      <c r="BZ37" s="52">
        <f t="shared" si="73"/>
        <v>4055709</v>
      </c>
      <c r="CA37" s="52">
        <f t="shared" si="73"/>
        <v>4155344</v>
      </c>
      <c r="CB37" s="52">
        <f t="shared" si="73"/>
        <v>2229635</v>
      </c>
      <c r="CC37" s="52">
        <f t="shared" si="73"/>
        <v>3225877</v>
      </c>
      <c r="CD37" s="52">
        <f t="shared" si="73"/>
        <v>5455512</v>
      </c>
      <c r="CE37" s="52">
        <f t="shared" si="73"/>
        <v>2880004</v>
      </c>
      <c r="CF37" s="52">
        <f t="shared" si="73"/>
        <v>11464944</v>
      </c>
      <c r="CG37" s="52">
        <f t="shared" si="73"/>
        <v>14344948</v>
      </c>
      <c r="CH37" s="52">
        <f t="shared" si="73"/>
        <v>7927248</v>
      </c>
      <c r="CI37" s="52">
        <f t="shared" si="73"/>
        <v>17737867</v>
      </c>
      <c r="CJ37" s="52">
        <f t="shared" si="73"/>
        <v>25665115</v>
      </c>
      <c r="CK37" s="52">
        <f t="shared" si="73"/>
        <v>475230</v>
      </c>
      <c r="CL37" s="52">
        <f t="shared" si="73"/>
        <v>17257231</v>
      </c>
      <c r="CM37" s="52">
        <f t="shared" si="73"/>
        <v>17732461</v>
      </c>
      <c r="CN37" s="52">
        <f t="shared" si="73"/>
        <v>0</v>
      </c>
      <c r="CO37" s="52">
        <f t="shared" si="73"/>
        <v>0</v>
      </c>
      <c r="CP37" s="52">
        <f t="shared" si="73"/>
        <v>31052915</v>
      </c>
      <c r="CQ37" s="52">
        <f t="shared" ref="CQ37:CS37" si="75">SUM(CQ22:CQ36)</f>
        <v>632862</v>
      </c>
      <c r="CR37" s="52">
        <f t="shared" si="75"/>
        <v>9929517</v>
      </c>
      <c r="CS37" s="52">
        <f t="shared" si="75"/>
        <v>10562379</v>
      </c>
    </row>
    <row r="38" spans="1:97" s="53" customFormat="1" x14ac:dyDescent="0.25">
      <c r="A38" s="49" t="s">
        <v>42</v>
      </c>
      <c r="B38" s="52">
        <f>B37+B20</f>
        <v>914538</v>
      </c>
      <c r="C38" s="52">
        <f t="shared" ref="C38:BK38" si="76">C37+C20</f>
        <v>3669434</v>
      </c>
      <c r="D38" s="52">
        <f t="shared" si="76"/>
        <v>4583972</v>
      </c>
      <c r="E38" s="52">
        <f t="shared" si="76"/>
        <v>2940592</v>
      </c>
      <c r="F38" s="52">
        <f t="shared" si="76"/>
        <v>9524081</v>
      </c>
      <c r="G38" s="52">
        <f t="shared" si="76"/>
        <v>12464673</v>
      </c>
      <c r="H38" s="52">
        <f t="shared" si="76"/>
        <v>0</v>
      </c>
      <c r="I38" s="52">
        <f t="shared" si="76"/>
        <v>0</v>
      </c>
      <c r="J38" s="52">
        <f t="shared" si="76"/>
        <v>136849920</v>
      </c>
      <c r="K38" s="52">
        <f t="shared" si="76"/>
        <v>57858550</v>
      </c>
      <c r="L38" s="52">
        <f t="shared" si="76"/>
        <v>166915753</v>
      </c>
      <c r="M38" s="52">
        <f t="shared" si="76"/>
        <v>224774303</v>
      </c>
      <c r="N38" s="52">
        <f t="shared" si="76"/>
        <v>0</v>
      </c>
      <c r="O38" s="52">
        <f t="shared" si="76"/>
        <v>46306075</v>
      </c>
      <c r="P38" s="52">
        <f t="shared" si="76"/>
        <v>46306075</v>
      </c>
      <c r="Q38" s="52">
        <f t="shared" si="76"/>
        <v>11614098</v>
      </c>
      <c r="R38" s="52">
        <f t="shared" si="76"/>
        <v>98990957</v>
      </c>
      <c r="S38" s="52">
        <f t="shared" si="76"/>
        <v>110605055</v>
      </c>
      <c r="T38" s="52">
        <f t="shared" si="76"/>
        <v>53473007.859999999</v>
      </c>
      <c r="U38" s="52">
        <f t="shared" si="76"/>
        <v>70882824.319999993</v>
      </c>
      <c r="V38" s="52">
        <f t="shared" si="76"/>
        <v>124355832.18000001</v>
      </c>
      <c r="W38" s="52">
        <f t="shared" si="76"/>
        <v>892830</v>
      </c>
      <c r="X38" s="52">
        <f t="shared" si="76"/>
        <v>2710848</v>
      </c>
      <c r="Y38" s="52">
        <f t="shared" si="76"/>
        <v>3603678</v>
      </c>
      <c r="Z38" s="52">
        <f t="shared" si="76"/>
        <v>10822000</v>
      </c>
      <c r="AA38" s="52">
        <f t="shared" si="76"/>
        <v>44228285</v>
      </c>
      <c r="AB38" s="52">
        <f t="shared" si="76"/>
        <v>55050285</v>
      </c>
      <c r="AC38" s="52">
        <f t="shared" si="76"/>
        <v>13787947</v>
      </c>
      <c r="AD38" s="52">
        <f t="shared" si="76"/>
        <v>40514280</v>
      </c>
      <c r="AE38" s="52">
        <f t="shared" si="76"/>
        <v>54302227</v>
      </c>
      <c r="AF38" s="52">
        <f t="shared" si="76"/>
        <v>29528835</v>
      </c>
      <c r="AG38" s="52">
        <f t="shared" si="76"/>
        <v>136900703</v>
      </c>
      <c r="AH38" s="52">
        <f t="shared" si="76"/>
        <v>166429538</v>
      </c>
      <c r="AI38" s="52">
        <f t="shared" si="76"/>
        <v>74356807</v>
      </c>
      <c r="AJ38" s="52">
        <f t="shared" si="76"/>
        <v>234565042</v>
      </c>
      <c r="AK38" s="52">
        <f t="shared" si="76"/>
        <v>308921849</v>
      </c>
      <c r="AL38" s="52">
        <f t="shared" si="76"/>
        <v>24700842</v>
      </c>
      <c r="AM38" s="52">
        <f t="shared" si="76"/>
        <v>96131828</v>
      </c>
      <c r="AN38" s="52">
        <f t="shared" si="76"/>
        <v>120832670</v>
      </c>
      <c r="AO38" s="52">
        <f t="shared" si="76"/>
        <v>1916813</v>
      </c>
      <c r="AP38" s="52">
        <f t="shared" si="76"/>
        <v>7401764</v>
      </c>
      <c r="AQ38" s="52">
        <f t="shared" si="76"/>
        <v>9318577</v>
      </c>
      <c r="AR38" s="52">
        <f t="shared" si="76"/>
        <v>8142700</v>
      </c>
      <c r="AS38" s="52">
        <f t="shared" si="76"/>
        <v>23067277</v>
      </c>
      <c r="AT38" s="52">
        <f t="shared" si="76"/>
        <v>31209977</v>
      </c>
      <c r="AU38" s="52">
        <f t="shared" si="76"/>
        <v>3560121</v>
      </c>
      <c r="AV38" s="52">
        <f t="shared" si="76"/>
        <v>26377542</v>
      </c>
      <c r="AW38" s="52">
        <f t="shared" si="76"/>
        <v>29937663</v>
      </c>
      <c r="AX38" s="52">
        <f t="shared" si="76"/>
        <v>2716039</v>
      </c>
      <c r="AY38" s="52">
        <f t="shared" si="76"/>
        <v>5305386</v>
      </c>
      <c r="AZ38" s="52">
        <f t="shared" si="76"/>
        <v>8021425</v>
      </c>
      <c r="BA38" s="52">
        <f t="shared" si="76"/>
        <v>6373698</v>
      </c>
      <c r="BB38" s="52">
        <f t="shared" si="76"/>
        <v>9841907</v>
      </c>
      <c r="BC38" s="52">
        <f t="shared" si="76"/>
        <v>16215605</v>
      </c>
      <c r="BD38" s="52">
        <f t="shared" si="76"/>
        <v>6664352</v>
      </c>
      <c r="BE38" s="52">
        <f t="shared" si="76"/>
        <v>286132883</v>
      </c>
      <c r="BF38" s="52">
        <f t="shared" si="76"/>
        <v>292797235</v>
      </c>
      <c r="BG38" s="52">
        <f t="shared" si="76"/>
        <v>2199296</v>
      </c>
      <c r="BH38" s="52">
        <f t="shared" si="76"/>
        <v>3687500</v>
      </c>
      <c r="BI38" s="52">
        <f t="shared" si="76"/>
        <v>5886796</v>
      </c>
      <c r="BJ38" s="52">
        <f t="shared" si="76"/>
        <v>2240726</v>
      </c>
      <c r="BK38" s="52">
        <f t="shared" si="76"/>
        <v>4707583</v>
      </c>
      <c r="BL38" s="52">
        <f t="shared" ref="BL38:CP38" si="77">BL37+BL20</f>
        <v>6948309</v>
      </c>
      <c r="BM38" s="52">
        <f t="shared" si="77"/>
        <v>22273614</v>
      </c>
      <c r="BN38" s="52">
        <f t="shared" si="77"/>
        <v>108059889</v>
      </c>
      <c r="BO38" s="52">
        <f t="shared" si="77"/>
        <v>130333503</v>
      </c>
      <c r="BP38" s="52">
        <f t="shared" si="77"/>
        <v>9098394</v>
      </c>
      <c r="BQ38" s="52">
        <f t="shared" si="77"/>
        <v>17251666</v>
      </c>
      <c r="BR38" s="52">
        <f t="shared" si="77"/>
        <v>26350060</v>
      </c>
      <c r="BS38" s="52">
        <f t="shared" si="77"/>
        <v>10064049</v>
      </c>
      <c r="BT38" s="52">
        <f t="shared" si="77"/>
        <v>54779372</v>
      </c>
      <c r="BU38" s="52">
        <f t="shared" si="77"/>
        <v>64843421</v>
      </c>
      <c r="BV38" s="52">
        <f t="shared" ref="BV38:BX38" si="78">BV37+BV20</f>
        <v>22180462</v>
      </c>
      <c r="BW38" s="52">
        <f t="shared" si="78"/>
        <v>73599810</v>
      </c>
      <c r="BX38" s="52">
        <f t="shared" si="78"/>
        <v>95780272</v>
      </c>
      <c r="BY38" s="52">
        <f t="shared" si="77"/>
        <v>16986622</v>
      </c>
      <c r="BZ38" s="52">
        <f t="shared" si="77"/>
        <v>88420349</v>
      </c>
      <c r="CA38" s="52">
        <f t="shared" si="77"/>
        <v>105406971</v>
      </c>
      <c r="CB38" s="52">
        <f t="shared" si="77"/>
        <v>27941128</v>
      </c>
      <c r="CC38" s="52">
        <f t="shared" si="77"/>
        <v>40425732</v>
      </c>
      <c r="CD38" s="52">
        <f t="shared" si="77"/>
        <v>68366860</v>
      </c>
      <c r="CE38" s="52">
        <f t="shared" si="77"/>
        <v>32478028</v>
      </c>
      <c r="CF38" s="52">
        <f t="shared" si="77"/>
        <v>129291087</v>
      </c>
      <c r="CG38" s="52">
        <f t="shared" si="77"/>
        <v>161769115</v>
      </c>
      <c r="CH38" s="52">
        <f t="shared" si="77"/>
        <v>211293141</v>
      </c>
      <c r="CI38" s="52">
        <f t="shared" si="77"/>
        <v>452289089</v>
      </c>
      <c r="CJ38" s="52">
        <f t="shared" si="77"/>
        <v>663582230</v>
      </c>
      <c r="CK38" s="52">
        <f t="shared" si="77"/>
        <v>6427919</v>
      </c>
      <c r="CL38" s="52">
        <f t="shared" si="77"/>
        <v>233419800</v>
      </c>
      <c r="CM38" s="52">
        <f t="shared" si="77"/>
        <v>239847719</v>
      </c>
      <c r="CN38" s="52">
        <f t="shared" si="77"/>
        <v>0</v>
      </c>
      <c r="CO38" s="52">
        <f t="shared" si="77"/>
        <v>0</v>
      </c>
      <c r="CP38" s="52">
        <f t="shared" si="77"/>
        <v>339320662</v>
      </c>
      <c r="CQ38" s="52">
        <f t="shared" ref="CQ38:CS38" si="79">CQ37+CQ20</f>
        <v>2129252</v>
      </c>
      <c r="CR38" s="52">
        <f t="shared" si="79"/>
        <v>33407725</v>
      </c>
      <c r="CS38" s="52">
        <f t="shared" si="79"/>
        <v>35536977</v>
      </c>
    </row>
  </sheetData>
  <mergeCells count="33">
    <mergeCell ref="BA3:BC3"/>
    <mergeCell ref="BD3:BF3"/>
    <mergeCell ref="BS3:BU3"/>
    <mergeCell ref="BG3:BI3"/>
    <mergeCell ref="BJ3:BL3"/>
    <mergeCell ref="BM3:BO3"/>
    <mergeCell ref="BP3:BR3"/>
    <mergeCell ref="H3:J3"/>
    <mergeCell ref="K3:M3"/>
    <mergeCell ref="T3:V3"/>
    <mergeCell ref="AR3:AT3"/>
    <mergeCell ref="AU3:AW3"/>
    <mergeCell ref="AF3:AH3"/>
    <mergeCell ref="Z3:AB3"/>
    <mergeCell ref="AI3:AK3"/>
    <mergeCell ref="AL3:AN3"/>
    <mergeCell ref="AO3:AQ3"/>
    <mergeCell ref="A3:A4"/>
    <mergeCell ref="CQ3:CS3"/>
    <mergeCell ref="CH3:CJ3"/>
    <mergeCell ref="CK3:CM3"/>
    <mergeCell ref="BY3:CA3"/>
    <mergeCell ref="CB3:CD3"/>
    <mergeCell ref="CE3:CG3"/>
    <mergeCell ref="CN3:CP3"/>
    <mergeCell ref="BV3:BX3"/>
    <mergeCell ref="N3:P3"/>
    <mergeCell ref="AX3:AZ3"/>
    <mergeCell ref="Q3:S3"/>
    <mergeCell ref="W3:Y3"/>
    <mergeCell ref="AC3:AE3"/>
    <mergeCell ref="B3:D3"/>
    <mergeCell ref="E3:G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NL1</vt:lpstr>
      <vt:lpstr>NL2</vt:lpstr>
      <vt:lpstr>NL3</vt:lpstr>
      <vt:lpstr>NL4</vt:lpstr>
      <vt:lpstr>NL5</vt:lpstr>
      <vt:lpstr>NL6</vt:lpstr>
      <vt:lpstr>NL7</vt:lpstr>
      <vt:lpstr>NL10</vt:lpstr>
      <vt:lpstr>NL12</vt:lpstr>
      <vt:lpstr>NL13</vt:lpstr>
      <vt:lpstr>NL14</vt:lpstr>
      <vt:lpstr>NL15</vt:lpstr>
      <vt:lpstr>NL17</vt:lpstr>
      <vt:lpstr>NL23</vt:lpstr>
      <vt:lpstr>NL25</vt:lpstr>
      <vt:lpstr>NL30</vt:lpstr>
      <vt:lpstr>NL33</vt:lpstr>
      <vt:lpstr>NL40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2021-09-13T04:22:06Z</dcterms:modified>
</cp:coreProperties>
</file>